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A026462\Desktop\"/>
    </mc:Choice>
  </mc:AlternateContent>
  <xr:revisionPtr revIDLastSave="0" documentId="8_{802CF7C0-AA1F-4297-B114-EC1C44A35B0E}" xr6:coauthVersionLast="47" xr6:coauthVersionMax="47" xr10:uidLastSave="{00000000-0000-0000-0000-000000000000}"/>
  <bookViews>
    <workbookView xWindow="-110" yWindow="-110" windowWidth="19420" windowHeight="10420" xr2:uid="{7E9E7359-55BC-4C5F-9481-3B75CF448F44}"/>
  </bookViews>
  <sheets>
    <sheet name="Ohje ja esittely" sheetId="18" r:id="rId1"/>
    <sheet name="Kohdetiedot ja yhteenveto" sheetId="28" r:id="rId2"/>
    <sheet name="Massanvaihto ja aumakäsittelyt" sheetId="9" r:id="rId3"/>
    <sheet name="Eristäminen" sheetId="24" r:id="rId4"/>
    <sheet name="Injektoinnit" sheetId="23" r:id="rId5"/>
    <sheet name="Termiset menetelmät" sheetId="22" r:id="rId6"/>
    <sheet name="Huokosilmakäsittely" sheetId="21" r:id="rId7"/>
    <sheet name="Fytoremediaatio" sheetId="25" r:id="rId8"/>
    <sheet name="Luontaisen hajoamisen seuranta" sheetId="26" r:id="rId9"/>
    <sheet name="Materiaalit" sheetId="17" r:id="rId10"/>
    <sheet name="Kalusto" sheetId="16" r:id="rId11"/>
    <sheet name="Muut" sheetId="20" r:id="rId12"/>
    <sheet name="Pudotusvalikot" sheetId="19" r:id="rId13"/>
  </sheets>
  <definedNames>
    <definedName name="_xlnm.Print_Area" localSheetId="3">Eristäminen!$B$2:$H$326</definedName>
    <definedName name="_xlnm.Print_Area" localSheetId="7">Fytoremediaatio!$B$2:$H$303</definedName>
    <definedName name="_xlnm.Print_Area" localSheetId="6">Huokosilmakäsittely!$B$2:$H$324</definedName>
    <definedName name="_xlnm.Print_Area" localSheetId="4">Injektoinnit!$B$1:$H$327</definedName>
    <definedName name="_xlnm.Print_Area" localSheetId="10">Kalusto!$B$2:$T$108</definedName>
    <definedName name="_xlnm.Print_Area" localSheetId="1">'Kohdetiedot ja yhteenveto'!$B$2:$S$55</definedName>
    <definedName name="_xlnm.Print_Area" localSheetId="8">'Luontaisen hajoamisen seuranta'!$B$2:$H$13</definedName>
    <definedName name="_xlnm.Print_Area" localSheetId="2">'Massanvaihto ja aumakäsittelyt'!$B$2:$H$450</definedName>
    <definedName name="_xlnm.Print_Area" localSheetId="9">Materiaalit!$B$2:$N$134</definedName>
    <definedName name="_xlnm.Print_Area" localSheetId="12">Pudotusvalikot!$A$1:$D$106,Pudotusvalikot!$E$1:$X$30</definedName>
    <definedName name="_xlnm.Print_Area" localSheetId="5">'Termiset menetelmät'!$B$2:$H$316</definedName>
    <definedName name="_xlnm.Print_Titles" localSheetId="3">Eristäminen!$2:$2</definedName>
    <definedName name="_xlnm.Print_Titles" localSheetId="7">Fytoremediaatio!$2:$2</definedName>
    <definedName name="_xlnm.Print_Titles" localSheetId="6">Huokosilmakäsittely!$2:$2</definedName>
    <definedName name="_xlnm.Print_Titles" localSheetId="8">'Luontaisen hajoamisen seuranta'!$2:$2</definedName>
    <definedName name="_xlnm.Print_Titles" localSheetId="2">'Massanvaihto ja aumakäsittelyt'!$2:$2</definedName>
    <definedName name="_xlnm.Print_Titles" localSheetId="5">'Termiset menetelmät'!$2:$2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28" l="1"/>
  <c r="H23" i="28"/>
  <c r="J23" i="28"/>
  <c r="L23" i="28"/>
  <c r="N23" i="28"/>
  <c r="R23" i="28"/>
  <c r="U466" i="23"/>
  <c r="U468" i="23"/>
  <c r="U469" i="23"/>
  <c r="U470" i="23"/>
  <c r="U471" i="23"/>
  <c r="L21" i="28"/>
  <c r="R22" i="28"/>
  <c r="P22" i="28"/>
  <c r="N22" i="28"/>
  <c r="O22" i="28" s="1"/>
  <c r="L22" i="28"/>
  <c r="M22" i="28" s="1"/>
  <c r="J22" i="28"/>
  <c r="S22" i="28"/>
  <c r="Q22" i="28"/>
  <c r="K22" i="28"/>
  <c r="I22" i="28"/>
  <c r="H22" i="28"/>
  <c r="Y419" i="24"/>
  <c r="G2" i="26"/>
  <c r="G2" i="25"/>
  <c r="G2" i="21"/>
  <c r="G2" i="22"/>
  <c r="G2" i="9"/>
  <c r="G2" i="24"/>
  <c r="Y496" i="9"/>
  <c r="S495" i="9"/>
  <c r="S496" i="9"/>
  <c r="S491" i="9"/>
  <c r="Y495" i="9"/>
  <c r="R242" i="9"/>
  <c r="K242" i="9"/>
  <c r="J242" i="9"/>
  <c r="R241" i="9"/>
  <c r="K241" i="9"/>
  <c r="J241" i="9"/>
  <c r="R240" i="9"/>
  <c r="K240" i="9"/>
  <c r="J240" i="9"/>
  <c r="Y238" i="9"/>
  <c r="X238" i="9"/>
  <c r="W238" i="9"/>
  <c r="V238" i="9"/>
  <c r="U238" i="9"/>
  <c r="T238" i="9"/>
  <c r="K237" i="9"/>
  <c r="R236" i="9"/>
  <c r="B235" i="9"/>
  <c r="R234" i="9"/>
  <c r="K234" i="9"/>
  <c r="J234" i="9"/>
  <c r="R233" i="9"/>
  <c r="K233" i="9"/>
  <c r="J233" i="9"/>
  <c r="R232" i="9"/>
  <c r="K232" i="9"/>
  <c r="J232" i="9"/>
  <c r="Y230" i="9"/>
  <c r="X230" i="9"/>
  <c r="W230" i="9"/>
  <c r="V230" i="9"/>
  <c r="U230" i="9"/>
  <c r="T230" i="9"/>
  <c r="K229" i="9"/>
  <c r="Z230" i="9" s="1"/>
  <c r="R228" i="9"/>
  <c r="B227" i="9"/>
  <c r="R226" i="9"/>
  <c r="K226" i="9"/>
  <c r="J226" i="9"/>
  <c r="R225" i="9"/>
  <c r="K225" i="9"/>
  <c r="J225" i="9"/>
  <c r="R224" i="9"/>
  <c r="K224" i="9"/>
  <c r="J224" i="9"/>
  <c r="Y222" i="9"/>
  <c r="X222" i="9"/>
  <c r="W222" i="9"/>
  <c r="V222" i="9"/>
  <c r="U222" i="9"/>
  <c r="T222" i="9"/>
  <c r="K221" i="9"/>
  <c r="Z222" i="9" s="1"/>
  <c r="R220" i="9"/>
  <c r="B219" i="9"/>
  <c r="R218" i="9"/>
  <c r="K218" i="9"/>
  <c r="J218" i="9"/>
  <c r="R217" i="9"/>
  <c r="K217" i="9"/>
  <c r="J217" i="9"/>
  <c r="R216" i="9"/>
  <c r="K216" i="9"/>
  <c r="J216" i="9"/>
  <c r="Z214" i="9"/>
  <c r="Y214" i="9"/>
  <c r="X214" i="9"/>
  <c r="W214" i="9"/>
  <c r="V214" i="9"/>
  <c r="U214" i="9"/>
  <c r="T214" i="9"/>
  <c r="K213" i="9"/>
  <c r="R212" i="9"/>
  <c r="B211" i="9"/>
  <c r="R210" i="9"/>
  <c r="K210" i="9"/>
  <c r="J210" i="9"/>
  <c r="R209" i="9"/>
  <c r="K209" i="9"/>
  <c r="J209" i="9"/>
  <c r="R208" i="9"/>
  <c r="K208" i="9"/>
  <c r="J208" i="9"/>
  <c r="Y206" i="9"/>
  <c r="X206" i="9"/>
  <c r="W206" i="9"/>
  <c r="V206" i="9"/>
  <c r="U206" i="9"/>
  <c r="T206" i="9"/>
  <c r="K205" i="9"/>
  <c r="Z206" i="9" s="1"/>
  <c r="R204" i="9"/>
  <c r="B203" i="9"/>
  <c r="K196" i="9"/>
  <c r="R196" i="9" s="1"/>
  <c r="D196" i="9"/>
  <c r="M196" i="9" s="1"/>
  <c r="K193" i="9"/>
  <c r="R193" i="9" s="1"/>
  <c r="D193" i="9"/>
  <c r="M193" i="9" s="1"/>
  <c r="K190" i="9"/>
  <c r="R190" i="9" s="1"/>
  <c r="D190" i="9"/>
  <c r="M190" i="9" s="1"/>
  <c r="K187" i="9"/>
  <c r="R187" i="9" s="1"/>
  <c r="D187" i="9"/>
  <c r="M187" i="9" s="1"/>
  <c r="K184" i="9"/>
  <c r="R184" i="9" s="1"/>
  <c r="D184" i="9"/>
  <c r="M184" i="9" s="1"/>
  <c r="C115" i="25"/>
  <c r="C115" i="21"/>
  <c r="C115" i="22"/>
  <c r="C116" i="23"/>
  <c r="C122" i="24"/>
  <c r="C114" i="9"/>
  <c r="U466" i="26"/>
  <c r="U471" i="26"/>
  <c r="U470" i="26"/>
  <c r="U469" i="26"/>
  <c r="U468" i="26"/>
  <c r="U467" i="26"/>
  <c r="U470" i="25"/>
  <c r="U469" i="25"/>
  <c r="U468" i="25"/>
  <c r="U467" i="25"/>
  <c r="U465" i="25"/>
  <c r="U470" i="21"/>
  <c r="U469" i="21"/>
  <c r="U468" i="21"/>
  <c r="U467" i="21"/>
  <c r="U465" i="21"/>
  <c r="U465" i="22"/>
  <c r="U470" i="22"/>
  <c r="U469" i="22"/>
  <c r="U468" i="22"/>
  <c r="U467" i="22"/>
  <c r="Y411" i="23"/>
  <c r="Y410" i="23"/>
  <c r="Y429" i="24"/>
  <c r="Y428" i="24"/>
  <c r="Y427" i="24"/>
  <c r="Y426" i="24"/>
  <c r="Y409" i="24"/>
  <c r="Y427" i="23"/>
  <c r="U470" i="24"/>
  <c r="U469" i="24"/>
  <c r="U468" i="24"/>
  <c r="U467" i="24"/>
  <c r="U465" i="24"/>
  <c r="U535" i="9"/>
  <c r="D5" i="26"/>
  <c r="D4" i="26"/>
  <c r="D4" i="25"/>
  <c r="D4" i="21"/>
  <c r="D4" i="22"/>
  <c r="D4" i="24"/>
  <c r="D4" i="9"/>
  <c r="D5" i="23"/>
  <c r="D4" i="23"/>
  <c r="G5" i="26"/>
  <c r="C125" i="23"/>
  <c r="G5" i="23"/>
  <c r="C123" i="9"/>
  <c r="R213" i="9" l="1"/>
  <c r="R237" i="9"/>
  <c r="R205" i="9"/>
  <c r="Z238" i="9"/>
  <c r="R229" i="9"/>
  <c r="R221" i="9"/>
  <c r="Y425" i="24"/>
  <c r="D27" i="28"/>
  <c r="D23" i="28"/>
  <c r="C21" i="28"/>
  <c r="D278" i="9" l="1"/>
  <c r="D281" i="9"/>
  <c r="D284" i="9"/>
  <c r="D287" i="9"/>
  <c r="D290" i="9"/>
  <c r="G4" i="26"/>
  <c r="G4" i="25"/>
  <c r="G4" i="21"/>
  <c r="G4" i="22"/>
  <c r="C27" i="28"/>
  <c r="C26" i="28"/>
  <c r="V26" i="28" s="1"/>
  <c r="C25" i="28"/>
  <c r="C24" i="28"/>
  <c r="C23" i="28"/>
  <c r="G4" i="23"/>
  <c r="G4" i="24"/>
  <c r="C22" i="28"/>
  <c r="V22" i="28" s="1"/>
  <c r="G4" i="9"/>
  <c r="C39" i="9" s="1"/>
  <c r="W260" i="25"/>
  <c r="V260" i="25"/>
  <c r="U260" i="25"/>
  <c r="T260" i="25"/>
  <c r="K260" i="25"/>
  <c r="W255" i="25"/>
  <c r="V255" i="25"/>
  <c r="U255" i="25"/>
  <c r="T255" i="25"/>
  <c r="K255" i="25"/>
  <c r="W250" i="25"/>
  <c r="V250" i="25"/>
  <c r="U250" i="25"/>
  <c r="T250" i="25"/>
  <c r="K250" i="25"/>
  <c r="W245" i="25"/>
  <c r="V245" i="25"/>
  <c r="U245" i="25"/>
  <c r="T245" i="25"/>
  <c r="K245" i="25"/>
  <c r="W240" i="25"/>
  <c r="V240" i="25"/>
  <c r="U240" i="25"/>
  <c r="T240" i="25"/>
  <c r="K240" i="25"/>
  <c r="K233" i="25"/>
  <c r="K229" i="25"/>
  <c r="K225" i="25"/>
  <c r="K204" i="25"/>
  <c r="K200" i="25"/>
  <c r="K193" i="25"/>
  <c r="K189" i="25"/>
  <c r="J184" i="25"/>
  <c r="J183" i="25"/>
  <c r="J182" i="25"/>
  <c r="W180" i="25"/>
  <c r="V180" i="25"/>
  <c r="U180" i="25"/>
  <c r="T180" i="25"/>
  <c r="J176" i="25"/>
  <c r="J175" i="25"/>
  <c r="J174" i="25"/>
  <c r="W172" i="25"/>
  <c r="V172" i="25"/>
  <c r="U172" i="25"/>
  <c r="T172" i="25"/>
  <c r="J168" i="25"/>
  <c r="J167" i="25"/>
  <c r="J166" i="25"/>
  <c r="W164" i="25"/>
  <c r="V164" i="25"/>
  <c r="U164" i="25"/>
  <c r="T164" i="25"/>
  <c r="J160" i="25"/>
  <c r="J159" i="25"/>
  <c r="J158" i="25"/>
  <c r="W156" i="25"/>
  <c r="V156" i="25"/>
  <c r="U156" i="25"/>
  <c r="T156" i="25"/>
  <c r="J152" i="25"/>
  <c r="J151" i="25"/>
  <c r="J150" i="25"/>
  <c r="W148" i="25"/>
  <c r="V148" i="25"/>
  <c r="U148" i="25"/>
  <c r="T148" i="25"/>
  <c r="W115" i="25"/>
  <c r="V115" i="25"/>
  <c r="U115" i="25"/>
  <c r="T115" i="25"/>
  <c r="K115" i="25"/>
  <c r="W110" i="25"/>
  <c r="V110" i="25"/>
  <c r="U110" i="25"/>
  <c r="T110" i="25"/>
  <c r="K110" i="25"/>
  <c r="W105" i="25"/>
  <c r="V105" i="25"/>
  <c r="U105" i="25"/>
  <c r="T105" i="25"/>
  <c r="K105" i="25"/>
  <c r="W100" i="25"/>
  <c r="V100" i="25"/>
  <c r="U100" i="25"/>
  <c r="T100" i="25"/>
  <c r="K100" i="25"/>
  <c r="W95" i="25"/>
  <c r="V95" i="25"/>
  <c r="U95" i="25"/>
  <c r="T95" i="25"/>
  <c r="K95" i="25"/>
  <c r="U87" i="25"/>
  <c r="K87" i="25"/>
  <c r="U86" i="25"/>
  <c r="K86" i="25"/>
  <c r="U85" i="25"/>
  <c r="K85" i="25"/>
  <c r="U84" i="25"/>
  <c r="K84" i="25"/>
  <c r="W75" i="25"/>
  <c r="V75" i="25"/>
  <c r="U75" i="25"/>
  <c r="T75" i="25"/>
  <c r="K75" i="25"/>
  <c r="W70" i="25"/>
  <c r="V70" i="25"/>
  <c r="U70" i="25"/>
  <c r="T70" i="25"/>
  <c r="K70" i="25"/>
  <c r="W65" i="25"/>
  <c r="V65" i="25"/>
  <c r="U65" i="25"/>
  <c r="T65" i="25"/>
  <c r="K65" i="25"/>
  <c r="W60" i="25"/>
  <c r="V60" i="25"/>
  <c r="U60" i="25"/>
  <c r="T60" i="25"/>
  <c r="K60" i="25"/>
  <c r="W55" i="25"/>
  <c r="V55" i="25"/>
  <c r="U55" i="25"/>
  <c r="T55" i="25"/>
  <c r="K55" i="25"/>
  <c r="K48" i="25"/>
  <c r="K44" i="25"/>
  <c r="K40" i="25"/>
  <c r="W21" i="25"/>
  <c r="V21" i="25"/>
  <c r="U21" i="25"/>
  <c r="T21" i="25"/>
  <c r="K21" i="25"/>
  <c r="W16" i="25"/>
  <c r="V16" i="25"/>
  <c r="U16" i="25"/>
  <c r="T16" i="25"/>
  <c r="K16" i="25"/>
  <c r="W11" i="25"/>
  <c r="V11" i="25"/>
  <c r="U11" i="25"/>
  <c r="T11" i="25"/>
  <c r="K11" i="25"/>
  <c r="W275" i="21"/>
  <c r="V275" i="21"/>
  <c r="U275" i="21"/>
  <c r="T275" i="21"/>
  <c r="K275" i="21"/>
  <c r="W270" i="21"/>
  <c r="V270" i="21"/>
  <c r="U270" i="21"/>
  <c r="T270" i="21"/>
  <c r="K270" i="21"/>
  <c r="W265" i="21"/>
  <c r="V265" i="21"/>
  <c r="U265" i="21"/>
  <c r="T265" i="21"/>
  <c r="K265" i="21"/>
  <c r="W260" i="21"/>
  <c r="V260" i="21"/>
  <c r="U260" i="21"/>
  <c r="T260" i="21"/>
  <c r="K260" i="21"/>
  <c r="K253" i="21"/>
  <c r="K249" i="21"/>
  <c r="K245" i="21"/>
  <c r="J184" i="21"/>
  <c r="J183" i="21"/>
  <c r="J182" i="21"/>
  <c r="W180" i="21"/>
  <c r="V180" i="21"/>
  <c r="U180" i="21"/>
  <c r="T180" i="21"/>
  <c r="J176" i="21"/>
  <c r="J175" i="21"/>
  <c r="J174" i="21"/>
  <c r="W172" i="21"/>
  <c r="V172" i="21"/>
  <c r="U172" i="21"/>
  <c r="T172" i="21"/>
  <c r="J168" i="21"/>
  <c r="J167" i="21"/>
  <c r="J166" i="21"/>
  <c r="W164" i="21"/>
  <c r="V164" i="21"/>
  <c r="U164" i="21"/>
  <c r="T164" i="21"/>
  <c r="J160" i="21"/>
  <c r="J159" i="21"/>
  <c r="J158" i="21"/>
  <c r="W156" i="21"/>
  <c r="V156" i="21"/>
  <c r="U156" i="21"/>
  <c r="T156" i="21"/>
  <c r="J152" i="21"/>
  <c r="J151" i="21"/>
  <c r="J150" i="21"/>
  <c r="W148" i="21"/>
  <c r="V148" i="21"/>
  <c r="U148" i="21"/>
  <c r="T148" i="21"/>
  <c r="W115" i="21"/>
  <c r="V115" i="21"/>
  <c r="U115" i="21"/>
  <c r="T115" i="21"/>
  <c r="K115" i="21"/>
  <c r="W110" i="21"/>
  <c r="V110" i="21"/>
  <c r="U110" i="21"/>
  <c r="T110" i="21"/>
  <c r="K110" i="21"/>
  <c r="W105" i="21"/>
  <c r="V105" i="21"/>
  <c r="U105" i="21"/>
  <c r="T105" i="21"/>
  <c r="K105" i="21"/>
  <c r="W100" i="21"/>
  <c r="V100" i="21"/>
  <c r="U100" i="21"/>
  <c r="T100" i="21"/>
  <c r="K100" i="21"/>
  <c r="W95" i="21"/>
  <c r="V95" i="21"/>
  <c r="U95" i="21"/>
  <c r="T95" i="21"/>
  <c r="K95" i="21"/>
  <c r="U87" i="21"/>
  <c r="K87" i="21"/>
  <c r="U86" i="21"/>
  <c r="K86" i="21"/>
  <c r="U85" i="21"/>
  <c r="K85" i="21"/>
  <c r="U84" i="21"/>
  <c r="K84" i="21"/>
  <c r="W75" i="21"/>
  <c r="V75" i="21"/>
  <c r="U75" i="21"/>
  <c r="T75" i="21"/>
  <c r="K75" i="21"/>
  <c r="W70" i="21"/>
  <c r="V70" i="21"/>
  <c r="U70" i="21"/>
  <c r="T70" i="21"/>
  <c r="K70" i="21"/>
  <c r="W65" i="21"/>
  <c r="V65" i="21"/>
  <c r="U65" i="21"/>
  <c r="T65" i="21"/>
  <c r="K65" i="21"/>
  <c r="W60" i="21"/>
  <c r="V60" i="21"/>
  <c r="U60" i="21"/>
  <c r="T60" i="21"/>
  <c r="K60" i="21"/>
  <c r="W55" i="21"/>
  <c r="V55" i="21"/>
  <c r="U55" i="21"/>
  <c r="T55" i="21"/>
  <c r="K55" i="21"/>
  <c r="K48" i="21"/>
  <c r="K44" i="21"/>
  <c r="K40" i="21"/>
  <c r="W21" i="21"/>
  <c r="V21" i="21"/>
  <c r="U21" i="21"/>
  <c r="T21" i="21"/>
  <c r="K21" i="21"/>
  <c r="W16" i="21"/>
  <c r="V16" i="21"/>
  <c r="U16" i="21"/>
  <c r="T16" i="21"/>
  <c r="K16" i="21"/>
  <c r="W11" i="21"/>
  <c r="V11" i="21"/>
  <c r="U11" i="21"/>
  <c r="T11" i="21"/>
  <c r="K11" i="21"/>
  <c r="V268" i="22"/>
  <c r="U268" i="22"/>
  <c r="T268" i="22"/>
  <c r="K268" i="22"/>
  <c r="W263" i="22"/>
  <c r="V263" i="22"/>
  <c r="U263" i="22"/>
  <c r="T263" i="22"/>
  <c r="K263" i="22"/>
  <c r="W258" i="22"/>
  <c r="V258" i="22"/>
  <c r="U258" i="22"/>
  <c r="T258" i="22"/>
  <c r="K258" i="22"/>
  <c r="W253" i="22"/>
  <c r="V253" i="22"/>
  <c r="U253" i="22"/>
  <c r="T253" i="22"/>
  <c r="K253" i="22"/>
  <c r="K246" i="22"/>
  <c r="K242" i="22"/>
  <c r="K238" i="22"/>
  <c r="J191" i="22"/>
  <c r="J190" i="22"/>
  <c r="J189" i="22"/>
  <c r="W187" i="22"/>
  <c r="V187" i="22"/>
  <c r="U187" i="22"/>
  <c r="T187" i="22"/>
  <c r="J183" i="22"/>
  <c r="J182" i="22"/>
  <c r="J181" i="22"/>
  <c r="W179" i="22"/>
  <c r="V179" i="22"/>
  <c r="U179" i="22"/>
  <c r="T179" i="22"/>
  <c r="J175" i="22"/>
  <c r="J174" i="22"/>
  <c r="J173" i="22"/>
  <c r="W171" i="22"/>
  <c r="V171" i="22"/>
  <c r="U171" i="22"/>
  <c r="T171" i="22"/>
  <c r="J167" i="22"/>
  <c r="J166" i="22"/>
  <c r="J165" i="22"/>
  <c r="W163" i="22"/>
  <c r="V163" i="22"/>
  <c r="U163" i="22"/>
  <c r="T163" i="22"/>
  <c r="J159" i="22"/>
  <c r="J158" i="22"/>
  <c r="J157" i="22"/>
  <c r="W155" i="22"/>
  <c r="V155" i="22"/>
  <c r="U155" i="22"/>
  <c r="T155" i="22"/>
  <c r="K124" i="22"/>
  <c r="W115" i="22"/>
  <c r="V115" i="22"/>
  <c r="U115" i="22"/>
  <c r="T115" i="22"/>
  <c r="K115" i="22"/>
  <c r="W110" i="22"/>
  <c r="V110" i="22"/>
  <c r="U110" i="22"/>
  <c r="T110" i="22"/>
  <c r="K110" i="22"/>
  <c r="W105" i="22"/>
  <c r="V105" i="22"/>
  <c r="U105" i="22"/>
  <c r="T105" i="22"/>
  <c r="K105" i="22"/>
  <c r="W100" i="22"/>
  <c r="V100" i="22"/>
  <c r="U100" i="22"/>
  <c r="T100" i="22"/>
  <c r="K100" i="22"/>
  <c r="W95" i="22"/>
  <c r="V95" i="22"/>
  <c r="U95" i="22"/>
  <c r="T95" i="22"/>
  <c r="K95" i="22"/>
  <c r="U87" i="22"/>
  <c r="K87" i="22"/>
  <c r="U86" i="22"/>
  <c r="K86" i="22"/>
  <c r="U85" i="22"/>
  <c r="K85" i="22"/>
  <c r="U84" i="22"/>
  <c r="K84" i="22"/>
  <c r="W75" i="22"/>
  <c r="V75" i="22"/>
  <c r="U75" i="22"/>
  <c r="T75" i="22"/>
  <c r="K75" i="22"/>
  <c r="W70" i="22"/>
  <c r="V70" i="22"/>
  <c r="U70" i="22"/>
  <c r="T70" i="22"/>
  <c r="K70" i="22"/>
  <c r="W65" i="22"/>
  <c r="V65" i="22"/>
  <c r="U65" i="22"/>
  <c r="T65" i="22"/>
  <c r="K65" i="22"/>
  <c r="W60" i="22"/>
  <c r="V60" i="22"/>
  <c r="U60" i="22"/>
  <c r="T60" i="22"/>
  <c r="K60" i="22"/>
  <c r="W55" i="22"/>
  <c r="V55" i="22"/>
  <c r="U55" i="22"/>
  <c r="T55" i="22"/>
  <c r="K55" i="22"/>
  <c r="K48" i="22"/>
  <c r="K44" i="22"/>
  <c r="K40" i="22"/>
  <c r="W21" i="22"/>
  <c r="V21" i="22"/>
  <c r="U21" i="22"/>
  <c r="T21" i="22"/>
  <c r="K21" i="22"/>
  <c r="W16" i="22"/>
  <c r="V16" i="22"/>
  <c r="U16" i="22"/>
  <c r="T16" i="22"/>
  <c r="K16" i="22"/>
  <c r="W11" i="22"/>
  <c r="V11" i="22"/>
  <c r="U11" i="22"/>
  <c r="T11" i="22"/>
  <c r="K11" i="22"/>
  <c r="V283" i="24"/>
  <c r="U283" i="24"/>
  <c r="T283" i="24"/>
  <c r="K283" i="24"/>
  <c r="W278" i="24"/>
  <c r="V278" i="24"/>
  <c r="U278" i="24"/>
  <c r="T278" i="24"/>
  <c r="K278" i="24"/>
  <c r="W273" i="24"/>
  <c r="V273" i="24"/>
  <c r="U273" i="24"/>
  <c r="T273" i="24"/>
  <c r="K273" i="24"/>
  <c r="W268" i="24"/>
  <c r="V268" i="24"/>
  <c r="U268" i="24"/>
  <c r="T268" i="24"/>
  <c r="K268" i="24"/>
  <c r="W263" i="24"/>
  <c r="V263" i="24"/>
  <c r="U263" i="24"/>
  <c r="T263" i="24"/>
  <c r="K263" i="24"/>
  <c r="K256" i="24"/>
  <c r="K252" i="24"/>
  <c r="K248" i="24"/>
  <c r="K214" i="24"/>
  <c r="K208" i="24"/>
  <c r="K202" i="24"/>
  <c r="K196" i="24"/>
  <c r="J191" i="24"/>
  <c r="J190" i="24"/>
  <c r="J189" i="24"/>
  <c r="W187" i="24"/>
  <c r="V187" i="24"/>
  <c r="U187" i="24"/>
  <c r="T187" i="24"/>
  <c r="J183" i="24"/>
  <c r="J182" i="24"/>
  <c r="J181" i="24"/>
  <c r="W179" i="24"/>
  <c r="V179" i="24"/>
  <c r="U179" i="24"/>
  <c r="T179" i="24"/>
  <c r="J175" i="24"/>
  <c r="J174" i="24"/>
  <c r="J173" i="24"/>
  <c r="W171" i="24"/>
  <c r="V171" i="24"/>
  <c r="U171" i="24"/>
  <c r="T171" i="24"/>
  <c r="J167" i="24"/>
  <c r="J166" i="24"/>
  <c r="J165" i="24"/>
  <c r="W163" i="24"/>
  <c r="V163" i="24"/>
  <c r="U163" i="24"/>
  <c r="T163" i="24"/>
  <c r="J159" i="24"/>
  <c r="J158" i="24"/>
  <c r="J157" i="24"/>
  <c r="W155" i="24"/>
  <c r="V155" i="24"/>
  <c r="U155" i="24"/>
  <c r="T155" i="24"/>
  <c r="W122" i="24"/>
  <c r="V122" i="24"/>
  <c r="U122" i="24"/>
  <c r="T122" i="24"/>
  <c r="K122" i="24"/>
  <c r="W117" i="24"/>
  <c r="V117" i="24"/>
  <c r="U117" i="24"/>
  <c r="T117" i="24"/>
  <c r="K117" i="24"/>
  <c r="W112" i="24"/>
  <c r="V112" i="24"/>
  <c r="U112" i="24"/>
  <c r="T112" i="24"/>
  <c r="K112" i="24"/>
  <c r="W107" i="24"/>
  <c r="V107" i="24"/>
  <c r="U107" i="24"/>
  <c r="T107" i="24"/>
  <c r="K107" i="24"/>
  <c r="W102" i="24"/>
  <c r="V102" i="24"/>
  <c r="U102" i="24"/>
  <c r="T102" i="24"/>
  <c r="K102" i="24"/>
  <c r="U94" i="24"/>
  <c r="K94" i="24"/>
  <c r="U93" i="24"/>
  <c r="K93" i="24"/>
  <c r="U92" i="24"/>
  <c r="K92" i="24"/>
  <c r="U91" i="24"/>
  <c r="K91" i="24"/>
  <c r="W82" i="24"/>
  <c r="V82" i="24"/>
  <c r="U82" i="24"/>
  <c r="T82" i="24"/>
  <c r="K82" i="24"/>
  <c r="W77" i="24"/>
  <c r="V77" i="24"/>
  <c r="U77" i="24"/>
  <c r="T77" i="24"/>
  <c r="K77" i="24"/>
  <c r="W72" i="24"/>
  <c r="V72" i="24"/>
  <c r="U72" i="24"/>
  <c r="T72" i="24"/>
  <c r="K72" i="24"/>
  <c r="W67" i="24"/>
  <c r="V67" i="24"/>
  <c r="U67" i="24"/>
  <c r="T67" i="24"/>
  <c r="K67" i="24"/>
  <c r="W62" i="24"/>
  <c r="V62" i="24"/>
  <c r="U62" i="24"/>
  <c r="T62" i="24"/>
  <c r="K62" i="24"/>
  <c r="K55" i="24"/>
  <c r="K51" i="24"/>
  <c r="K47" i="24"/>
  <c r="K39" i="24"/>
  <c r="W21" i="24"/>
  <c r="V21" i="24"/>
  <c r="U21" i="24"/>
  <c r="T21" i="24"/>
  <c r="K21" i="24"/>
  <c r="W16" i="24"/>
  <c r="V16" i="24"/>
  <c r="U16" i="24"/>
  <c r="T16" i="24"/>
  <c r="K16" i="24"/>
  <c r="W11" i="24"/>
  <c r="V11" i="24"/>
  <c r="U11" i="24"/>
  <c r="T11" i="24"/>
  <c r="K11" i="24"/>
  <c r="V279" i="23"/>
  <c r="U279" i="23"/>
  <c r="T279" i="23"/>
  <c r="K279" i="23"/>
  <c r="W274" i="23"/>
  <c r="V274" i="23"/>
  <c r="U274" i="23"/>
  <c r="T274" i="23"/>
  <c r="K274" i="23"/>
  <c r="W269" i="23"/>
  <c r="V269" i="23"/>
  <c r="U269" i="23"/>
  <c r="T269" i="23"/>
  <c r="K269" i="23"/>
  <c r="W264" i="23"/>
  <c r="V264" i="23"/>
  <c r="U264" i="23"/>
  <c r="T264" i="23"/>
  <c r="K264" i="23"/>
  <c r="K257" i="23"/>
  <c r="K253" i="23"/>
  <c r="K249" i="23"/>
  <c r="J192" i="23"/>
  <c r="J191" i="23"/>
  <c r="J190" i="23"/>
  <c r="W188" i="23"/>
  <c r="V188" i="23"/>
  <c r="U188" i="23"/>
  <c r="T188" i="23"/>
  <c r="J184" i="23"/>
  <c r="J183" i="23"/>
  <c r="J182" i="23"/>
  <c r="W180" i="23"/>
  <c r="V180" i="23"/>
  <c r="U180" i="23"/>
  <c r="T180" i="23"/>
  <c r="J176" i="23"/>
  <c r="J175" i="23"/>
  <c r="J174" i="23"/>
  <c r="W172" i="23"/>
  <c r="V172" i="23"/>
  <c r="U172" i="23"/>
  <c r="T172" i="23"/>
  <c r="J168" i="23"/>
  <c r="J167" i="23"/>
  <c r="J166" i="23"/>
  <c r="W164" i="23"/>
  <c r="V164" i="23"/>
  <c r="U164" i="23"/>
  <c r="T164" i="23"/>
  <c r="J160" i="23"/>
  <c r="J159" i="23"/>
  <c r="J158" i="23"/>
  <c r="W156" i="23"/>
  <c r="V156" i="23"/>
  <c r="U156" i="23"/>
  <c r="T156" i="23"/>
  <c r="K125" i="23"/>
  <c r="W116" i="23"/>
  <c r="V116" i="23"/>
  <c r="U116" i="23"/>
  <c r="T116" i="23"/>
  <c r="K116" i="23"/>
  <c r="W111" i="23"/>
  <c r="V111" i="23"/>
  <c r="U111" i="23"/>
  <c r="T111" i="23"/>
  <c r="K111" i="23"/>
  <c r="W106" i="23"/>
  <c r="V106" i="23"/>
  <c r="U106" i="23"/>
  <c r="T106" i="23"/>
  <c r="K106" i="23"/>
  <c r="W101" i="23"/>
  <c r="V101" i="23"/>
  <c r="U101" i="23"/>
  <c r="T101" i="23"/>
  <c r="K101" i="23"/>
  <c r="W96" i="23"/>
  <c r="V96" i="23"/>
  <c r="U96" i="23"/>
  <c r="T96" i="23"/>
  <c r="K96" i="23"/>
  <c r="U88" i="23"/>
  <c r="K88" i="23"/>
  <c r="U87" i="23"/>
  <c r="K87" i="23"/>
  <c r="U86" i="23"/>
  <c r="K86" i="23"/>
  <c r="U85" i="23"/>
  <c r="K85" i="23"/>
  <c r="W76" i="23"/>
  <c r="V76" i="23"/>
  <c r="U76" i="23"/>
  <c r="T76" i="23"/>
  <c r="K76" i="23"/>
  <c r="W71" i="23"/>
  <c r="V71" i="23"/>
  <c r="U71" i="23"/>
  <c r="T71" i="23"/>
  <c r="K71" i="23"/>
  <c r="W66" i="23"/>
  <c r="V66" i="23"/>
  <c r="U66" i="23"/>
  <c r="T66" i="23"/>
  <c r="K66" i="23"/>
  <c r="W61" i="23"/>
  <c r="V61" i="23"/>
  <c r="U61" i="23"/>
  <c r="T61" i="23"/>
  <c r="K61" i="23"/>
  <c r="W56" i="23"/>
  <c r="V56" i="23"/>
  <c r="U56" i="23"/>
  <c r="T56" i="23"/>
  <c r="K56" i="23"/>
  <c r="K49" i="23"/>
  <c r="K45" i="23"/>
  <c r="K41" i="23"/>
  <c r="W22" i="23"/>
  <c r="V22" i="23"/>
  <c r="U22" i="23"/>
  <c r="T22" i="23"/>
  <c r="K22" i="23"/>
  <c r="W17" i="23"/>
  <c r="V17" i="23"/>
  <c r="U17" i="23"/>
  <c r="T17" i="23"/>
  <c r="K17" i="23"/>
  <c r="W12" i="23"/>
  <c r="V12" i="23"/>
  <c r="U12" i="23"/>
  <c r="T12" i="23"/>
  <c r="K12" i="23"/>
  <c r="W402" i="9"/>
  <c r="V402" i="9"/>
  <c r="U402" i="9"/>
  <c r="T402" i="9"/>
  <c r="K402" i="9"/>
  <c r="W397" i="9"/>
  <c r="V397" i="9"/>
  <c r="U397" i="9"/>
  <c r="T397" i="9"/>
  <c r="K397" i="9"/>
  <c r="W392" i="9"/>
  <c r="V392" i="9"/>
  <c r="U392" i="9"/>
  <c r="T392" i="9"/>
  <c r="K392" i="9"/>
  <c r="W387" i="9"/>
  <c r="V387" i="9"/>
  <c r="U387" i="9"/>
  <c r="T387" i="9"/>
  <c r="K387" i="9"/>
  <c r="K380" i="9"/>
  <c r="K376" i="9"/>
  <c r="K372" i="9"/>
  <c r="K350" i="9"/>
  <c r="K345" i="9"/>
  <c r="K340" i="9"/>
  <c r="J336" i="9"/>
  <c r="J335" i="9"/>
  <c r="J334" i="9"/>
  <c r="W332" i="9"/>
  <c r="V332" i="9"/>
  <c r="U332" i="9"/>
  <c r="T332" i="9"/>
  <c r="J328" i="9"/>
  <c r="J327" i="9"/>
  <c r="J326" i="9"/>
  <c r="W324" i="9"/>
  <c r="V324" i="9"/>
  <c r="U324" i="9"/>
  <c r="T324" i="9"/>
  <c r="J320" i="9"/>
  <c r="J319" i="9"/>
  <c r="J318" i="9"/>
  <c r="W316" i="9"/>
  <c r="V316" i="9"/>
  <c r="U316" i="9"/>
  <c r="T316" i="9"/>
  <c r="J312" i="9"/>
  <c r="J311" i="9"/>
  <c r="J310" i="9"/>
  <c r="W308" i="9"/>
  <c r="V308" i="9"/>
  <c r="U308" i="9"/>
  <c r="T308" i="9"/>
  <c r="J304" i="9"/>
  <c r="J303" i="9"/>
  <c r="J302" i="9"/>
  <c r="W300" i="9"/>
  <c r="V300" i="9"/>
  <c r="U300" i="9"/>
  <c r="T300" i="9"/>
  <c r="W267" i="9"/>
  <c r="V267" i="9"/>
  <c r="U267" i="9"/>
  <c r="T267" i="9"/>
  <c r="K267" i="9"/>
  <c r="W262" i="9"/>
  <c r="V262" i="9"/>
  <c r="U262" i="9"/>
  <c r="T262" i="9"/>
  <c r="K262" i="9"/>
  <c r="W257" i="9"/>
  <c r="V257" i="9"/>
  <c r="U257" i="9"/>
  <c r="T257" i="9"/>
  <c r="K257" i="9"/>
  <c r="K154" i="9"/>
  <c r="K148" i="9"/>
  <c r="Z138" i="9"/>
  <c r="K138" i="9"/>
  <c r="W137" i="9"/>
  <c r="V137" i="9"/>
  <c r="U137" i="9"/>
  <c r="T137" i="9"/>
  <c r="K137" i="9"/>
  <c r="K130" i="9"/>
  <c r="K123" i="9"/>
  <c r="W114" i="9"/>
  <c r="V114" i="9"/>
  <c r="U114" i="9"/>
  <c r="T114" i="9"/>
  <c r="K114" i="9"/>
  <c r="W109" i="9"/>
  <c r="V109" i="9"/>
  <c r="U109" i="9"/>
  <c r="T109" i="9"/>
  <c r="K109" i="9"/>
  <c r="W104" i="9"/>
  <c r="V104" i="9"/>
  <c r="U104" i="9"/>
  <c r="T104" i="9"/>
  <c r="K104" i="9"/>
  <c r="W99" i="9"/>
  <c r="V99" i="9"/>
  <c r="U99" i="9"/>
  <c r="T99" i="9"/>
  <c r="K99" i="9"/>
  <c r="W94" i="9"/>
  <c r="V94" i="9"/>
  <c r="U94" i="9"/>
  <c r="T94" i="9"/>
  <c r="K94" i="9"/>
  <c r="U86" i="9"/>
  <c r="K86" i="9"/>
  <c r="U85" i="9"/>
  <c r="K85" i="9"/>
  <c r="U84" i="9"/>
  <c r="K84" i="9"/>
  <c r="U83" i="9"/>
  <c r="K83" i="9"/>
  <c r="W67" i="9"/>
  <c r="V67" i="9"/>
  <c r="U67" i="9"/>
  <c r="T67" i="9"/>
  <c r="K67" i="9"/>
  <c r="W62" i="9"/>
  <c r="V62" i="9"/>
  <c r="U62" i="9"/>
  <c r="T62" i="9"/>
  <c r="K62" i="9"/>
  <c r="W57" i="9"/>
  <c r="V57" i="9"/>
  <c r="U57" i="9"/>
  <c r="T57" i="9"/>
  <c r="K57" i="9"/>
  <c r="W52" i="9"/>
  <c r="V52" i="9"/>
  <c r="U52" i="9"/>
  <c r="T52" i="9"/>
  <c r="K52" i="9"/>
  <c r="W47" i="9"/>
  <c r="V47" i="9"/>
  <c r="U47" i="9"/>
  <c r="T47" i="9"/>
  <c r="K47" i="9"/>
  <c r="K39" i="9"/>
  <c r="W21" i="9"/>
  <c r="V21" i="9"/>
  <c r="U21" i="9"/>
  <c r="T21" i="9"/>
  <c r="K21" i="9"/>
  <c r="W16" i="9"/>
  <c r="V16" i="9"/>
  <c r="U16" i="9"/>
  <c r="T16" i="9"/>
  <c r="K16" i="9"/>
  <c r="W11" i="9"/>
  <c r="V11" i="9"/>
  <c r="U11" i="9"/>
  <c r="T11" i="9"/>
  <c r="K11" i="9"/>
  <c r="W407" i="9"/>
  <c r="V407" i="9"/>
  <c r="U407" i="9"/>
  <c r="T407" i="9"/>
  <c r="K407" i="9"/>
  <c r="W284" i="23"/>
  <c r="V284" i="23"/>
  <c r="U284" i="23"/>
  <c r="T284" i="23"/>
  <c r="K284" i="23"/>
  <c r="W279" i="23"/>
  <c r="W283" i="24"/>
  <c r="W273" i="22"/>
  <c r="V273" i="22"/>
  <c r="U273" i="22"/>
  <c r="T273" i="22"/>
  <c r="K273" i="22"/>
  <c r="W268" i="22"/>
  <c r="W280" i="21"/>
  <c r="V280" i="21"/>
  <c r="U280" i="21"/>
  <c r="T280" i="21"/>
  <c r="K280" i="21"/>
  <c r="P23" i="28" l="1"/>
  <c r="L27" i="28"/>
  <c r="F27" i="28"/>
  <c r="G27" i="28" s="1"/>
  <c r="N25" i="28"/>
  <c r="U22" i="28"/>
  <c r="N26" i="28"/>
  <c r="U25" i="28"/>
  <c r="V25" i="28"/>
  <c r="U26" i="28"/>
  <c r="N21" i="28"/>
  <c r="P27" i="28"/>
  <c r="U27" i="28"/>
  <c r="N27" i="28"/>
  <c r="H27" i="28"/>
  <c r="J27" i="28"/>
  <c r="V27" i="28"/>
  <c r="S403" i="26"/>
  <c r="S437" i="25"/>
  <c r="S435" i="25"/>
  <c r="S434" i="25"/>
  <c r="S431" i="25"/>
  <c r="S430" i="25"/>
  <c r="S425" i="25"/>
  <c r="S424" i="25"/>
  <c r="S423" i="25"/>
  <c r="S422" i="25"/>
  <c r="S419" i="25"/>
  <c r="S418" i="25"/>
  <c r="S415" i="25"/>
  <c r="S414" i="25"/>
  <c r="S409" i="25"/>
  <c r="S402" i="25"/>
  <c r="S440" i="21"/>
  <c r="S438" i="21"/>
  <c r="S437" i="21"/>
  <c r="S434" i="21"/>
  <c r="S433" i="21"/>
  <c r="S428" i="21"/>
  <c r="S427" i="21"/>
  <c r="S426" i="21"/>
  <c r="S425" i="21"/>
  <c r="S424" i="21"/>
  <c r="S423" i="21"/>
  <c r="Y426" i="21"/>
  <c r="S422" i="21"/>
  <c r="S419" i="21"/>
  <c r="S418" i="21"/>
  <c r="S415" i="21"/>
  <c r="S414" i="21"/>
  <c r="S409" i="21"/>
  <c r="S402" i="21"/>
  <c r="S439" i="22"/>
  <c r="S437" i="22"/>
  <c r="S436" i="22"/>
  <c r="S433" i="22"/>
  <c r="S432" i="22"/>
  <c r="S427" i="22"/>
  <c r="S426" i="22"/>
  <c r="S425" i="22"/>
  <c r="S423" i="22"/>
  <c r="S424" i="22"/>
  <c r="S422" i="22"/>
  <c r="S419" i="22"/>
  <c r="S418" i="22"/>
  <c r="AH270" i="21"/>
  <c r="AH265" i="21"/>
  <c r="AH55" i="21"/>
  <c r="AH21" i="21"/>
  <c r="AH283" i="24"/>
  <c r="AH278" i="24"/>
  <c r="AH273" i="24"/>
  <c r="AH268" i="24"/>
  <c r="AH263" i="24"/>
  <c r="AH122" i="24"/>
  <c r="AH117" i="24"/>
  <c r="AH112" i="24"/>
  <c r="AH107" i="24"/>
  <c r="AH102" i="24"/>
  <c r="AH82" i="24"/>
  <c r="AH77" i="24"/>
  <c r="AH72" i="24"/>
  <c r="AH67" i="24"/>
  <c r="AH62" i="24"/>
  <c r="AH21" i="24"/>
  <c r="AH16" i="24"/>
  <c r="AH11" i="24"/>
  <c r="AH284" i="23"/>
  <c r="AH279" i="23"/>
  <c r="AH274" i="23"/>
  <c r="AH269" i="23"/>
  <c r="AH264" i="23"/>
  <c r="AH116" i="23"/>
  <c r="AH111" i="23"/>
  <c r="AH106" i="23"/>
  <c r="AH101" i="23"/>
  <c r="AH96" i="23"/>
  <c r="AH76" i="23"/>
  <c r="AH71" i="23"/>
  <c r="AH66" i="23"/>
  <c r="AH61" i="23"/>
  <c r="AH56" i="23"/>
  <c r="AH22" i="23"/>
  <c r="AH17" i="23"/>
  <c r="AH12" i="23"/>
  <c r="AH407" i="9"/>
  <c r="AH402" i="9"/>
  <c r="AH397" i="9"/>
  <c r="AH392" i="9"/>
  <c r="AH387" i="9"/>
  <c r="AH267" i="9"/>
  <c r="AH262" i="9"/>
  <c r="AH257" i="9"/>
  <c r="AH137" i="9"/>
  <c r="AH114" i="9"/>
  <c r="AH109" i="9"/>
  <c r="AH104" i="9"/>
  <c r="AH99" i="9"/>
  <c r="AH94" i="9"/>
  <c r="AH67" i="9"/>
  <c r="AH62" i="9"/>
  <c r="AH57" i="9"/>
  <c r="AH52" i="9"/>
  <c r="AH47" i="9"/>
  <c r="AH21" i="9"/>
  <c r="AH16" i="9"/>
  <c r="AH11" i="9"/>
  <c r="S415" i="22"/>
  <c r="S414" i="22"/>
  <c r="S409" i="22"/>
  <c r="S402" i="22"/>
  <c r="S420" i="24"/>
  <c r="S419" i="24"/>
  <c r="S415" i="24"/>
  <c r="S436" i="24"/>
  <c r="S434" i="24"/>
  <c r="S433" i="24"/>
  <c r="S430" i="24"/>
  <c r="S429" i="24"/>
  <c r="S424" i="24"/>
  <c r="S423" i="24"/>
  <c r="S416" i="24"/>
  <c r="S414" i="24"/>
  <c r="S409" i="24"/>
  <c r="S402" i="24"/>
  <c r="S441" i="23"/>
  <c r="S439" i="23"/>
  <c r="S438" i="23"/>
  <c r="S435" i="23"/>
  <c r="S434" i="23"/>
  <c r="S429" i="23"/>
  <c r="S428" i="23"/>
  <c r="S427" i="23"/>
  <c r="S426" i="23"/>
  <c r="S425" i="23"/>
  <c r="S424" i="23"/>
  <c r="S421" i="23"/>
  <c r="S419" i="23"/>
  <c r="S416" i="23"/>
  <c r="S403" i="23"/>
  <c r="Y420" i="23"/>
  <c r="S415" i="23"/>
  <c r="S410" i="23"/>
  <c r="S520" i="9"/>
  <c r="S518" i="9"/>
  <c r="S517" i="9"/>
  <c r="S514" i="9"/>
  <c r="S513" i="9"/>
  <c r="S512" i="9"/>
  <c r="S508" i="9"/>
  <c r="S507" i="9"/>
  <c r="S506" i="9"/>
  <c r="S503" i="9"/>
  <c r="S488" i="9"/>
  <c r="S485" i="9"/>
  <c r="S484" i="9"/>
  <c r="S482" i="9"/>
  <c r="S479" i="9"/>
  <c r="S493" i="9"/>
  <c r="S492" i="9"/>
  <c r="S490" i="9"/>
  <c r="S489" i="9"/>
  <c r="S478" i="9"/>
  <c r="S473" i="9"/>
  <c r="S466" i="9"/>
  <c r="M11" i="26"/>
  <c r="K11" i="26"/>
  <c r="M9" i="26"/>
  <c r="K9" i="26"/>
  <c r="M301" i="25"/>
  <c r="K301" i="25"/>
  <c r="K295" i="25"/>
  <c r="K294" i="25"/>
  <c r="K292" i="25"/>
  <c r="K286" i="25"/>
  <c r="AH255" i="25"/>
  <c r="AH250" i="25"/>
  <c r="AH245" i="25"/>
  <c r="AH240" i="25"/>
  <c r="M214" i="25"/>
  <c r="K214" i="25"/>
  <c r="M212" i="25"/>
  <c r="K212" i="25"/>
  <c r="K184" i="25"/>
  <c r="K183" i="25"/>
  <c r="K182" i="25"/>
  <c r="K179" i="25"/>
  <c r="K176" i="25"/>
  <c r="K175" i="25"/>
  <c r="K174" i="25"/>
  <c r="K171" i="25"/>
  <c r="K168" i="25"/>
  <c r="K167" i="25"/>
  <c r="K166" i="25"/>
  <c r="K163" i="25"/>
  <c r="K160" i="25"/>
  <c r="K159" i="25"/>
  <c r="K158" i="25"/>
  <c r="K155" i="25"/>
  <c r="K152" i="25"/>
  <c r="K151" i="25"/>
  <c r="K150" i="25"/>
  <c r="K147" i="25"/>
  <c r="K138" i="25"/>
  <c r="R138" i="25" s="1"/>
  <c r="D138" i="25"/>
  <c r="K135" i="25"/>
  <c r="R135" i="25" s="1"/>
  <c r="D135" i="25"/>
  <c r="K132" i="25"/>
  <c r="R132" i="25" s="1"/>
  <c r="D132" i="25"/>
  <c r="K129" i="25"/>
  <c r="R129" i="25" s="1"/>
  <c r="D129" i="25"/>
  <c r="K126" i="25"/>
  <c r="R126" i="25" s="1"/>
  <c r="D126" i="25"/>
  <c r="AH115" i="25"/>
  <c r="AH110" i="25"/>
  <c r="AH105" i="25"/>
  <c r="AH100" i="25"/>
  <c r="AH95" i="25"/>
  <c r="U88" i="25"/>
  <c r="K88" i="25"/>
  <c r="AH75" i="25"/>
  <c r="AH70" i="25"/>
  <c r="AH65" i="25"/>
  <c r="AH60" i="25"/>
  <c r="AH55" i="25"/>
  <c r="K34" i="25"/>
  <c r="K32" i="25"/>
  <c r="K31" i="25"/>
  <c r="K30" i="25"/>
  <c r="AH21" i="25"/>
  <c r="AH16" i="25"/>
  <c r="AH11" i="25"/>
  <c r="M322" i="21"/>
  <c r="K322" i="21"/>
  <c r="K315" i="21"/>
  <c r="K314" i="21"/>
  <c r="K312" i="21"/>
  <c r="K306" i="21"/>
  <c r="AH280" i="21"/>
  <c r="AH275" i="21"/>
  <c r="AH260" i="21"/>
  <c r="M234" i="21"/>
  <c r="K234" i="21"/>
  <c r="M232" i="21"/>
  <c r="K232" i="21"/>
  <c r="T228" i="21"/>
  <c r="R228" i="21"/>
  <c r="T226" i="21"/>
  <c r="R226" i="21"/>
  <c r="K222" i="21"/>
  <c r="T218" i="21"/>
  <c r="R218" i="21"/>
  <c r="T216" i="21"/>
  <c r="R216" i="21"/>
  <c r="K212" i="21"/>
  <c r="T206" i="21"/>
  <c r="R206" i="21"/>
  <c r="K202" i="21"/>
  <c r="K196" i="21"/>
  <c r="T194" i="21"/>
  <c r="R194" i="21"/>
  <c r="T192" i="21"/>
  <c r="R192" i="21"/>
  <c r="K188" i="21"/>
  <c r="K184" i="21"/>
  <c r="K183" i="21"/>
  <c r="K182" i="21"/>
  <c r="K179" i="21"/>
  <c r="K176" i="21"/>
  <c r="K175" i="21"/>
  <c r="K174" i="21"/>
  <c r="K171" i="21"/>
  <c r="K168" i="21"/>
  <c r="K167" i="21"/>
  <c r="K166" i="21"/>
  <c r="K163" i="21"/>
  <c r="K160" i="21"/>
  <c r="K159" i="21"/>
  <c r="K158" i="21"/>
  <c r="K155" i="21"/>
  <c r="K152" i="21"/>
  <c r="K151" i="21"/>
  <c r="K150" i="21"/>
  <c r="K147" i="21"/>
  <c r="M138" i="21"/>
  <c r="K138" i="21"/>
  <c r="R138" i="21" s="1"/>
  <c r="D138" i="21"/>
  <c r="M135" i="21"/>
  <c r="K135" i="21"/>
  <c r="R135" i="21" s="1"/>
  <c r="D135" i="21"/>
  <c r="M132" i="21"/>
  <c r="K132" i="21"/>
  <c r="R132" i="21" s="1"/>
  <c r="D132" i="21"/>
  <c r="M129" i="21"/>
  <c r="K129" i="21"/>
  <c r="R129" i="21" s="1"/>
  <c r="D129" i="21"/>
  <c r="M126" i="21"/>
  <c r="K126" i="21"/>
  <c r="R126" i="21" s="1"/>
  <c r="D126" i="21"/>
  <c r="AH115" i="21"/>
  <c r="AH110" i="21"/>
  <c r="AH105" i="21"/>
  <c r="AH100" i="21"/>
  <c r="AH95" i="21"/>
  <c r="U88" i="21"/>
  <c r="K88" i="21"/>
  <c r="AH75" i="21"/>
  <c r="AH70" i="21"/>
  <c r="AH65" i="21"/>
  <c r="AH60" i="21"/>
  <c r="K34" i="21"/>
  <c r="K32" i="21"/>
  <c r="K31" i="21"/>
  <c r="K30" i="21"/>
  <c r="AH16" i="21"/>
  <c r="AH11" i="21"/>
  <c r="M314" i="22"/>
  <c r="K314" i="22"/>
  <c r="K308" i="22"/>
  <c r="K307" i="22"/>
  <c r="K305" i="22"/>
  <c r="K299" i="22"/>
  <c r="AH273" i="22"/>
  <c r="AH268" i="22"/>
  <c r="AH263" i="22"/>
  <c r="AH258" i="22"/>
  <c r="AH253" i="22"/>
  <c r="M227" i="22"/>
  <c r="K227" i="22"/>
  <c r="M225" i="22"/>
  <c r="K225" i="22"/>
  <c r="T221" i="22"/>
  <c r="R221" i="22"/>
  <c r="T219" i="22"/>
  <c r="R219" i="22"/>
  <c r="K215" i="22"/>
  <c r="T211" i="22"/>
  <c r="R211" i="22"/>
  <c r="T209" i="22"/>
  <c r="R209" i="22"/>
  <c r="K205" i="22"/>
  <c r="K195" i="22"/>
  <c r="K191" i="22"/>
  <c r="K190" i="22"/>
  <c r="K189" i="22"/>
  <c r="K186" i="22"/>
  <c r="K183" i="22"/>
  <c r="K182" i="22"/>
  <c r="K181" i="22"/>
  <c r="K178" i="22"/>
  <c r="K175" i="22"/>
  <c r="K174" i="22"/>
  <c r="K173" i="22"/>
  <c r="K170" i="22"/>
  <c r="K167" i="22"/>
  <c r="K166" i="22"/>
  <c r="K165" i="22"/>
  <c r="K162" i="22"/>
  <c r="K159" i="22"/>
  <c r="K158" i="22"/>
  <c r="K157" i="22"/>
  <c r="K154" i="22"/>
  <c r="K145" i="22"/>
  <c r="R145" i="22" s="1"/>
  <c r="D145" i="22"/>
  <c r="K142" i="22"/>
  <c r="R142" i="22" s="1"/>
  <c r="D142" i="22"/>
  <c r="K139" i="22"/>
  <c r="R139" i="22" s="1"/>
  <c r="D139" i="22"/>
  <c r="K136" i="22"/>
  <c r="R136" i="22" s="1"/>
  <c r="D136" i="22"/>
  <c r="K133" i="22"/>
  <c r="R133" i="22" s="1"/>
  <c r="D133" i="22"/>
  <c r="AH115" i="22"/>
  <c r="AH110" i="22"/>
  <c r="AH105" i="22"/>
  <c r="AH100" i="22"/>
  <c r="AH95" i="22"/>
  <c r="U88" i="22"/>
  <c r="K88" i="22"/>
  <c r="AH75" i="22"/>
  <c r="AH70" i="22"/>
  <c r="AH65" i="22"/>
  <c r="AH60" i="22"/>
  <c r="AH55" i="22"/>
  <c r="K34" i="22"/>
  <c r="K32" i="22"/>
  <c r="K31" i="22"/>
  <c r="K30" i="22"/>
  <c r="AH21" i="22"/>
  <c r="AH16" i="22"/>
  <c r="AH11" i="22"/>
  <c r="M324" i="24"/>
  <c r="K324" i="24"/>
  <c r="K318" i="24"/>
  <c r="K317" i="24"/>
  <c r="K315" i="24"/>
  <c r="K309" i="24"/>
  <c r="M237" i="24"/>
  <c r="K237" i="24"/>
  <c r="M235" i="24"/>
  <c r="K235" i="24"/>
  <c r="K229" i="24"/>
  <c r="T225" i="24"/>
  <c r="R225" i="24"/>
  <c r="K221" i="24"/>
  <c r="K191" i="24"/>
  <c r="K190" i="24"/>
  <c r="K189" i="24"/>
  <c r="K186" i="24"/>
  <c r="K183" i="24"/>
  <c r="K182" i="24"/>
  <c r="K181" i="24"/>
  <c r="K178" i="24"/>
  <c r="K175" i="24"/>
  <c r="K174" i="24"/>
  <c r="K173" i="24"/>
  <c r="K170" i="24"/>
  <c r="K167" i="24"/>
  <c r="K166" i="24"/>
  <c r="K165" i="24"/>
  <c r="K162" i="24"/>
  <c r="K159" i="24"/>
  <c r="K158" i="24"/>
  <c r="K157" i="24"/>
  <c r="K154" i="24"/>
  <c r="K145" i="24"/>
  <c r="R145" i="24" s="1"/>
  <c r="K142" i="24"/>
  <c r="R142" i="24" s="1"/>
  <c r="K139" i="24"/>
  <c r="R139" i="24" s="1"/>
  <c r="K136" i="24"/>
  <c r="R136" i="24" s="1"/>
  <c r="U95" i="24"/>
  <c r="K95" i="24"/>
  <c r="K34" i="24"/>
  <c r="K32" i="24"/>
  <c r="K31" i="24"/>
  <c r="K30" i="24"/>
  <c r="M325" i="23"/>
  <c r="K325" i="23"/>
  <c r="K319" i="23"/>
  <c r="K318" i="23"/>
  <c r="K316" i="23"/>
  <c r="K310" i="23"/>
  <c r="K295" i="23"/>
  <c r="M238" i="23"/>
  <c r="K238" i="23"/>
  <c r="M236" i="23"/>
  <c r="K236" i="23"/>
  <c r="T232" i="23"/>
  <c r="R232" i="23"/>
  <c r="T230" i="23"/>
  <c r="R230" i="23"/>
  <c r="K226" i="23"/>
  <c r="T222" i="23"/>
  <c r="R222" i="23"/>
  <c r="T220" i="23"/>
  <c r="R220" i="23"/>
  <c r="K216" i="23"/>
  <c r="T212" i="23"/>
  <c r="R212" i="23"/>
  <c r="T210" i="23"/>
  <c r="R210" i="23"/>
  <c r="K206" i="23"/>
  <c r="T202" i="23"/>
  <c r="R202" i="23"/>
  <c r="K196" i="23"/>
  <c r="T200" i="23" s="1"/>
  <c r="R200" i="23" s="1"/>
  <c r="K192" i="23"/>
  <c r="K191" i="23"/>
  <c r="K190" i="23"/>
  <c r="K187" i="23"/>
  <c r="K184" i="23"/>
  <c r="K183" i="23"/>
  <c r="K182" i="23"/>
  <c r="K179" i="23"/>
  <c r="K176" i="23"/>
  <c r="K175" i="23"/>
  <c r="K174" i="23"/>
  <c r="K171" i="23"/>
  <c r="K168" i="23"/>
  <c r="K167" i="23"/>
  <c r="K166" i="23"/>
  <c r="K163" i="23"/>
  <c r="K160" i="23"/>
  <c r="K159" i="23"/>
  <c r="K158" i="23"/>
  <c r="K155" i="23"/>
  <c r="K146" i="23"/>
  <c r="R146" i="23" s="1"/>
  <c r="D146" i="23"/>
  <c r="K143" i="23"/>
  <c r="R143" i="23" s="1"/>
  <c r="D143" i="23"/>
  <c r="K140" i="23"/>
  <c r="R140" i="23" s="1"/>
  <c r="D140" i="23"/>
  <c r="U89" i="23"/>
  <c r="K89" i="23"/>
  <c r="K35" i="23"/>
  <c r="K33" i="23"/>
  <c r="K32" i="23"/>
  <c r="K31" i="23"/>
  <c r="M448" i="9"/>
  <c r="K448" i="9"/>
  <c r="K442" i="9"/>
  <c r="K441" i="9"/>
  <c r="K439" i="9"/>
  <c r="K433" i="9"/>
  <c r="M361" i="9"/>
  <c r="K361" i="9"/>
  <c r="K355" i="9"/>
  <c r="K336" i="9"/>
  <c r="K335" i="9"/>
  <c r="K334" i="9"/>
  <c r="K331" i="9"/>
  <c r="K328" i="9"/>
  <c r="K327" i="9"/>
  <c r="K326" i="9"/>
  <c r="K323" i="9"/>
  <c r="K320" i="9"/>
  <c r="K319" i="9"/>
  <c r="K318" i="9"/>
  <c r="K315" i="9"/>
  <c r="K312" i="9"/>
  <c r="K311" i="9"/>
  <c r="K310" i="9"/>
  <c r="K307" i="9"/>
  <c r="K304" i="9"/>
  <c r="K303" i="9"/>
  <c r="K302" i="9"/>
  <c r="K299" i="9"/>
  <c r="K290" i="9"/>
  <c r="R290" i="9" s="1"/>
  <c r="K287" i="9"/>
  <c r="R287" i="9" s="1"/>
  <c r="K284" i="9"/>
  <c r="R284" i="9" s="1"/>
  <c r="K281" i="9"/>
  <c r="R281" i="9" s="1"/>
  <c r="K278" i="9"/>
  <c r="R278" i="9" s="1"/>
  <c r="M248" i="9"/>
  <c r="K248" i="9"/>
  <c r="M246" i="9"/>
  <c r="K246" i="9"/>
  <c r="K176" i="9"/>
  <c r="T174" i="9"/>
  <c r="R174" i="9"/>
  <c r="T172" i="9"/>
  <c r="R172" i="9"/>
  <c r="K168" i="9"/>
  <c r="K161" i="9"/>
  <c r="U87" i="9"/>
  <c r="K87" i="9"/>
  <c r="K79" i="9"/>
  <c r="K78" i="9"/>
  <c r="K76" i="9"/>
  <c r="K34" i="9"/>
  <c r="K32" i="9"/>
  <c r="K31" i="9"/>
  <c r="K30" i="9"/>
  <c r="K421" i="9"/>
  <c r="K418" i="9"/>
  <c r="K424" i="9"/>
  <c r="K427" i="9"/>
  <c r="K430" i="9"/>
  <c r="K298" i="23"/>
  <c r="K301" i="23"/>
  <c r="K304" i="23"/>
  <c r="K307" i="23"/>
  <c r="K297" i="24"/>
  <c r="K294" i="24"/>
  <c r="K300" i="24"/>
  <c r="K303" i="24"/>
  <c r="K306" i="24"/>
  <c r="K287" i="22"/>
  <c r="K284" i="22"/>
  <c r="K290" i="22"/>
  <c r="K293" i="22"/>
  <c r="K296" i="22"/>
  <c r="K294" i="21"/>
  <c r="K291" i="21"/>
  <c r="K297" i="21"/>
  <c r="K300" i="21"/>
  <c r="K303" i="21"/>
  <c r="K274" i="25"/>
  <c r="K271" i="25"/>
  <c r="AH260" i="25"/>
  <c r="K277" i="25"/>
  <c r="K280" i="25"/>
  <c r="K283" i="25"/>
  <c r="E41" i="20"/>
  <c r="E40" i="20"/>
  <c r="E39" i="20"/>
  <c r="U124" i="22"/>
  <c r="C124" i="22"/>
  <c r="T124" i="22" s="1"/>
  <c r="U125" i="23"/>
  <c r="T125" i="23"/>
  <c r="R31" i="24"/>
  <c r="Y410" i="24" s="1"/>
  <c r="K31" i="17"/>
  <c r="K30" i="17"/>
  <c r="K29" i="17"/>
  <c r="Y506" i="9" l="1"/>
  <c r="T199" i="22"/>
  <c r="R199" i="22" s="1"/>
  <c r="Y422" i="25"/>
  <c r="H26" i="28" s="1"/>
  <c r="Y422" i="21"/>
  <c r="V124" i="22"/>
  <c r="R124" i="22" s="1"/>
  <c r="Y422" i="22" s="1"/>
  <c r="Y423" i="22"/>
  <c r="V125" i="23"/>
  <c r="R125" i="23" s="1"/>
  <c r="AI11" i="9"/>
  <c r="AA279" i="23"/>
  <c r="AA274" i="23"/>
  <c r="AA269" i="23"/>
  <c r="T9" i="26" l="1"/>
  <c r="T214" i="25"/>
  <c r="T212" i="25"/>
  <c r="R210" i="25"/>
  <c r="T301" i="25"/>
  <c r="R299" i="25"/>
  <c r="R295" i="25"/>
  <c r="Y438" i="25" s="1"/>
  <c r="R294" i="25"/>
  <c r="R292" i="25"/>
  <c r="K288" i="25"/>
  <c r="R288" i="25" s="1"/>
  <c r="K287" i="25"/>
  <c r="R287" i="25" s="1"/>
  <c r="R286" i="25"/>
  <c r="K285" i="25"/>
  <c r="R285" i="25" s="1"/>
  <c r="K284" i="25"/>
  <c r="R284" i="25" s="1"/>
  <c r="R283" i="25"/>
  <c r="K282" i="25"/>
  <c r="R282" i="25" s="1"/>
  <c r="K281" i="25"/>
  <c r="R281" i="25" s="1"/>
  <c r="R280" i="25"/>
  <c r="K279" i="25"/>
  <c r="R279" i="25" s="1"/>
  <c r="K278" i="25"/>
  <c r="R278" i="25" s="1"/>
  <c r="R277" i="25"/>
  <c r="K276" i="25"/>
  <c r="R276" i="25" s="1"/>
  <c r="K275" i="25"/>
  <c r="R275" i="25" s="1"/>
  <c r="Y436" i="25" s="1"/>
  <c r="R274" i="25"/>
  <c r="R271" i="25"/>
  <c r="Y260" i="25"/>
  <c r="AC260" i="25" s="1"/>
  <c r="X260" i="25"/>
  <c r="AD260" i="25" s="1"/>
  <c r="AJ260" i="25"/>
  <c r="AI260" i="25"/>
  <c r="H260" i="25"/>
  <c r="Y255" i="25"/>
  <c r="AC255" i="25" s="1"/>
  <c r="X255" i="25"/>
  <c r="AD255" i="25" s="1"/>
  <c r="AJ255" i="25"/>
  <c r="H255" i="25"/>
  <c r="Y250" i="25"/>
  <c r="AC250" i="25" s="1"/>
  <c r="X250" i="25"/>
  <c r="AD250" i="25" s="1"/>
  <c r="AJ250" i="25"/>
  <c r="H250" i="25"/>
  <c r="Y245" i="25"/>
  <c r="AC245" i="25" s="1"/>
  <c r="X245" i="25"/>
  <c r="AD245" i="25" s="1"/>
  <c r="AJ245" i="25"/>
  <c r="H245" i="25"/>
  <c r="Y240" i="25"/>
  <c r="AC240" i="25" s="1"/>
  <c r="X240" i="25"/>
  <c r="AJ240" i="25"/>
  <c r="H240" i="25"/>
  <c r="T233" i="25"/>
  <c r="R233" i="25" s="1"/>
  <c r="T229" i="25"/>
  <c r="R229" i="25" s="1"/>
  <c r="T225" i="25"/>
  <c r="R225" i="25" s="1"/>
  <c r="T204" i="25"/>
  <c r="T200" i="25"/>
  <c r="R200" i="25" s="1"/>
  <c r="T193" i="25"/>
  <c r="T189" i="25"/>
  <c r="R189" i="25" s="1"/>
  <c r="R184" i="25"/>
  <c r="R183" i="25"/>
  <c r="R182" i="25"/>
  <c r="Y180" i="25"/>
  <c r="X180" i="25"/>
  <c r="R178" i="25"/>
  <c r="B177" i="25"/>
  <c r="R176" i="25"/>
  <c r="R175" i="25"/>
  <c r="R174" i="25"/>
  <c r="Y172" i="25"/>
  <c r="X172" i="25"/>
  <c r="R170" i="25"/>
  <c r="B169" i="25"/>
  <c r="R168" i="25"/>
  <c r="R167" i="25"/>
  <c r="R166" i="25"/>
  <c r="Y164" i="25"/>
  <c r="X164" i="25"/>
  <c r="R162" i="25"/>
  <c r="B161" i="25"/>
  <c r="R160" i="25"/>
  <c r="R159" i="25"/>
  <c r="R158" i="25"/>
  <c r="Y156" i="25"/>
  <c r="X156" i="25"/>
  <c r="B153" i="25"/>
  <c r="R152" i="25"/>
  <c r="R151" i="25"/>
  <c r="R150" i="25"/>
  <c r="Y148" i="25"/>
  <c r="X148" i="25"/>
  <c r="B145" i="25"/>
  <c r="M138" i="25"/>
  <c r="M135" i="25"/>
  <c r="M132" i="25"/>
  <c r="M129" i="25"/>
  <c r="M126" i="25"/>
  <c r="Y115" i="25"/>
  <c r="AC115" i="25" s="1"/>
  <c r="AJ115" i="25"/>
  <c r="AA115" i="25"/>
  <c r="G115" i="25"/>
  <c r="D115" i="25"/>
  <c r="H115" i="25" s="1"/>
  <c r="B114" i="25"/>
  <c r="Y110" i="25"/>
  <c r="AC110" i="25" s="1"/>
  <c r="AJ110" i="25"/>
  <c r="AA110" i="25"/>
  <c r="D110" i="25"/>
  <c r="C110" i="25"/>
  <c r="B109" i="25"/>
  <c r="Y105" i="25"/>
  <c r="AC105" i="25" s="1"/>
  <c r="AJ105" i="25"/>
  <c r="AA105" i="25"/>
  <c r="D105" i="25"/>
  <c r="H105" i="25" s="1"/>
  <c r="C105" i="25"/>
  <c r="B104" i="25"/>
  <c r="Y100" i="25"/>
  <c r="AJ100" i="25"/>
  <c r="AA100" i="25"/>
  <c r="D100" i="25"/>
  <c r="H100" i="25" s="1"/>
  <c r="C100" i="25"/>
  <c r="B99" i="25"/>
  <c r="Y95" i="25"/>
  <c r="AC95" i="25" s="1"/>
  <c r="AJ95" i="25"/>
  <c r="AA95" i="25"/>
  <c r="G95" i="25"/>
  <c r="D95" i="25"/>
  <c r="H95" i="25" s="1"/>
  <c r="C95" i="25"/>
  <c r="B94" i="25"/>
  <c r="Y75" i="25"/>
  <c r="AC75" i="25" s="1"/>
  <c r="X75" i="25"/>
  <c r="AJ75" i="25"/>
  <c r="H75" i="25"/>
  <c r="Y70" i="25"/>
  <c r="AC70" i="25" s="1"/>
  <c r="X70" i="25"/>
  <c r="AJ70" i="25"/>
  <c r="AA70" i="25"/>
  <c r="H70" i="25"/>
  <c r="Y65" i="25"/>
  <c r="X65" i="25"/>
  <c r="AJ65" i="25"/>
  <c r="AA65" i="25"/>
  <c r="H65" i="25"/>
  <c r="Y60" i="25"/>
  <c r="AC60" i="25" s="1"/>
  <c r="X60" i="25"/>
  <c r="AJ60" i="25"/>
  <c r="AA60" i="25"/>
  <c r="H60" i="25"/>
  <c r="Y55" i="25"/>
  <c r="AC55" i="25" s="1"/>
  <c r="X55" i="25"/>
  <c r="AJ55" i="25"/>
  <c r="AA55" i="25"/>
  <c r="H55" i="25"/>
  <c r="U48" i="25"/>
  <c r="T48" i="25"/>
  <c r="V48" i="25" s="1"/>
  <c r="U44" i="25"/>
  <c r="T44" i="25"/>
  <c r="V44" i="25" s="1"/>
  <c r="U40" i="25"/>
  <c r="T40" i="25"/>
  <c r="V40" i="25" s="1"/>
  <c r="R34" i="25"/>
  <c r="Y412" i="25" s="1"/>
  <c r="R32" i="25"/>
  <c r="Y411" i="25" s="1"/>
  <c r="R31" i="25"/>
  <c r="Y410" i="25" s="1"/>
  <c r="R30" i="25"/>
  <c r="Y413" i="25" s="1"/>
  <c r="Y442" i="25" s="1"/>
  <c r="G26" i="25"/>
  <c r="AD21" i="25"/>
  <c r="AC21" i="25"/>
  <c r="Y21" i="25"/>
  <c r="X21" i="25"/>
  <c r="AJ21" i="25"/>
  <c r="AA21" i="25"/>
  <c r="AD16" i="25"/>
  <c r="AC16" i="25"/>
  <c r="Y16" i="25"/>
  <c r="X16" i="25"/>
  <c r="AJ16" i="25"/>
  <c r="AA16" i="25"/>
  <c r="Y11" i="25"/>
  <c r="AC11" i="25" s="1"/>
  <c r="X11" i="25"/>
  <c r="AJ11" i="25"/>
  <c r="AA11" i="25"/>
  <c r="T234" i="21"/>
  <c r="T232" i="21"/>
  <c r="R230" i="21"/>
  <c r="T322" i="21"/>
  <c r="R319" i="21"/>
  <c r="R315" i="21"/>
  <c r="Y441" i="21" s="1"/>
  <c r="R314" i="21"/>
  <c r="R312" i="21"/>
  <c r="Y440" i="21" s="1"/>
  <c r="K308" i="21"/>
  <c r="R308" i="21" s="1"/>
  <c r="K307" i="21"/>
  <c r="R307" i="21" s="1"/>
  <c r="R306" i="21"/>
  <c r="K305" i="21"/>
  <c r="R305" i="21" s="1"/>
  <c r="K304" i="21"/>
  <c r="R304" i="21" s="1"/>
  <c r="R303" i="21"/>
  <c r="K302" i="21"/>
  <c r="R302" i="21" s="1"/>
  <c r="K301" i="21"/>
  <c r="R301" i="21" s="1"/>
  <c r="R300" i="21"/>
  <c r="K299" i="21"/>
  <c r="R299" i="21" s="1"/>
  <c r="K298" i="21"/>
  <c r="R298" i="21" s="1"/>
  <c r="R297" i="21"/>
  <c r="K296" i="21"/>
  <c r="R296" i="21" s="1"/>
  <c r="K295" i="21"/>
  <c r="R295" i="21" s="1"/>
  <c r="R294" i="21"/>
  <c r="R291" i="21"/>
  <c r="Y280" i="21"/>
  <c r="AC280" i="21" s="1"/>
  <c r="X280" i="21"/>
  <c r="AD280" i="21" s="1"/>
  <c r="AJ280" i="21"/>
  <c r="H280" i="21"/>
  <c r="Y275" i="21"/>
  <c r="AC275" i="21" s="1"/>
  <c r="X275" i="21"/>
  <c r="AD275" i="21" s="1"/>
  <c r="AJ275" i="21"/>
  <c r="H275" i="21"/>
  <c r="Y270" i="21"/>
  <c r="AC270" i="21" s="1"/>
  <c r="X270" i="21"/>
  <c r="AD270" i="21" s="1"/>
  <c r="AJ270" i="21"/>
  <c r="H270" i="21"/>
  <c r="Y265" i="21"/>
  <c r="AC265" i="21" s="1"/>
  <c r="X265" i="21"/>
  <c r="AD265" i="21" s="1"/>
  <c r="AJ265" i="21"/>
  <c r="H265" i="21"/>
  <c r="Y260" i="21"/>
  <c r="AC260" i="21" s="1"/>
  <c r="X260" i="21"/>
  <c r="AJ260" i="21"/>
  <c r="AA260" i="21"/>
  <c r="H260" i="21"/>
  <c r="T253" i="21"/>
  <c r="T249" i="21"/>
  <c r="T245" i="21"/>
  <c r="L223" i="21"/>
  <c r="K223" i="21" s="1"/>
  <c r="L213" i="21"/>
  <c r="K213" i="21" s="1"/>
  <c r="L203" i="21"/>
  <c r="K203" i="21" s="1"/>
  <c r="T208" i="21" s="1"/>
  <c r="R208" i="21" s="1"/>
  <c r="R196" i="21"/>
  <c r="Y425" i="21" s="1"/>
  <c r="L189" i="21"/>
  <c r="K189" i="21" s="1"/>
  <c r="R184" i="21"/>
  <c r="R183" i="21"/>
  <c r="R182" i="21"/>
  <c r="Y180" i="21"/>
  <c r="X180" i="21"/>
  <c r="R178" i="21"/>
  <c r="B177" i="21"/>
  <c r="R176" i="21"/>
  <c r="R175" i="21"/>
  <c r="R174" i="21"/>
  <c r="Y172" i="21"/>
  <c r="X172" i="21"/>
  <c r="R170" i="21"/>
  <c r="B169" i="21"/>
  <c r="R168" i="21"/>
  <c r="R167" i="21"/>
  <c r="R166" i="21"/>
  <c r="Y164" i="21"/>
  <c r="X164" i="21"/>
  <c r="R162" i="21"/>
  <c r="B161" i="21"/>
  <c r="R160" i="21"/>
  <c r="R159" i="21"/>
  <c r="R158" i="21"/>
  <c r="Y156" i="21"/>
  <c r="X156" i="21"/>
  <c r="R154" i="21"/>
  <c r="B153" i="21"/>
  <c r="R152" i="21"/>
  <c r="R151" i="21"/>
  <c r="R150" i="21"/>
  <c r="Y148" i="21"/>
  <c r="X148" i="21"/>
  <c r="B145" i="21"/>
  <c r="Y115" i="21"/>
  <c r="AC115" i="21" s="1"/>
  <c r="AJ115" i="21"/>
  <c r="AA115" i="21"/>
  <c r="G115" i="21"/>
  <c r="D115" i="21"/>
  <c r="H115" i="21" s="1"/>
  <c r="B114" i="21"/>
  <c r="Y110" i="21"/>
  <c r="AC110" i="21" s="1"/>
  <c r="AJ110" i="21"/>
  <c r="AA110" i="21"/>
  <c r="D110" i="21"/>
  <c r="C110" i="21"/>
  <c r="B109" i="21"/>
  <c r="Y105" i="21"/>
  <c r="AC105" i="21" s="1"/>
  <c r="AJ105" i="21"/>
  <c r="AA105" i="21"/>
  <c r="D105" i="21"/>
  <c r="H105" i="21" s="1"/>
  <c r="C105" i="21"/>
  <c r="B104" i="21"/>
  <c r="Y100" i="21"/>
  <c r="AC100" i="21" s="1"/>
  <c r="AJ100" i="21"/>
  <c r="AA100" i="21"/>
  <c r="D100" i="21"/>
  <c r="H100" i="21" s="1"/>
  <c r="C100" i="21"/>
  <c r="B99" i="21"/>
  <c r="Y95" i="21"/>
  <c r="AC95" i="21" s="1"/>
  <c r="AJ95" i="21"/>
  <c r="AA95" i="21"/>
  <c r="G95" i="21"/>
  <c r="D95" i="21"/>
  <c r="H95" i="21" s="1"/>
  <c r="C95" i="21"/>
  <c r="B94" i="21"/>
  <c r="Y75" i="21"/>
  <c r="AC75" i="21" s="1"/>
  <c r="X75" i="21"/>
  <c r="AJ75" i="21"/>
  <c r="H75" i="21"/>
  <c r="Y70" i="21"/>
  <c r="AC70" i="21" s="1"/>
  <c r="X70" i="21"/>
  <c r="AJ70" i="21"/>
  <c r="AA70" i="21"/>
  <c r="H70" i="21"/>
  <c r="Y65" i="21"/>
  <c r="AC65" i="21" s="1"/>
  <c r="X65" i="21"/>
  <c r="AJ65" i="21"/>
  <c r="AA65" i="21"/>
  <c r="H65" i="21"/>
  <c r="Y60" i="21"/>
  <c r="AC60" i="21" s="1"/>
  <c r="X60" i="21"/>
  <c r="AJ60" i="21"/>
  <c r="AA60" i="21"/>
  <c r="H60" i="21"/>
  <c r="Y55" i="21"/>
  <c r="AC55" i="21" s="1"/>
  <c r="X55" i="21"/>
  <c r="AJ55" i="21"/>
  <c r="AA55" i="21"/>
  <c r="H55" i="21"/>
  <c r="U48" i="21"/>
  <c r="T48" i="21"/>
  <c r="V48" i="21" s="1"/>
  <c r="U44" i="21"/>
  <c r="T44" i="21"/>
  <c r="V44" i="21" s="1"/>
  <c r="U40" i="21"/>
  <c r="T40" i="21"/>
  <c r="V40" i="21" s="1"/>
  <c r="R34" i="21"/>
  <c r="Y412" i="21" s="1"/>
  <c r="R32" i="21"/>
  <c r="Y411" i="21" s="1"/>
  <c r="R31" i="21"/>
  <c r="Y410" i="21" s="1"/>
  <c r="R30" i="21"/>
  <c r="Y413" i="21" s="1"/>
  <c r="Y445" i="21" s="1"/>
  <c r="G26" i="21"/>
  <c r="AD21" i="21"/>
  <c r="AC21" i="21"/>
  <c r="Y21" i="21"/>
  <c r="X21" i="21"/>
  <c r="AJ21" i="21"/>
  <c r="AA21" i="21"/>
  <c r="AD16" i="21"/>
  <c r="AC16" i="21"/>
  <c r="Y16" i="21"/>
  <c r="X16" i="21"/>
  <c r="AJ16" i="21"/>
  <c r="AA16" i="21"/>
  <c r="Y11" i="21"/>
  <c r="AC11" i="21" s="1"/>
  <c r="X11" i="21"/>
  <c r="AJ11" i="21"/>
  <c r="AA11" i="21"/>
  <c r="T314" i="22"/>
  <c r="R312" i="22"/>
  <c r="R308" i="22"/>
  <c r="Y440" i="22" s="1"/>
  <c r="R307" i="22"/>
  <c r="R305" i="22"/>
  <c r="Y439" i="22" s="1"/>
  <c r="K301" i="22"/>
  <c r="R301" i="22" s="1"/>
  <c r="K300" i="22"/>
  <c r="R300" i="22" s="1"/>
  <c r="R299" i="22"/>
  <c r="K298" i="22"/>
  <c r="R298" i="22" s="1"/>
  <c r="K297" i="22"/>
  <c r="R297" i="22" s="1"/>
  <c r="R296" i="22"/>
  <c r="K295" i="22"/>
  <c r="R295" i="22" s="1"/>
  <c r="K294" i="22"/>
  <c r="R294" i="22" s="1"/>
  <c r="R293" i="22"/>
  <c r="K292" i="22"/>
  <c r="R292" i="22" s="1"/>
  <c r="K291" i="22"/>
  <c r="R291" i="22" s="1"/>
  <c r="R290" i="22"/>
  <c r="K289" i="22"/>
  <c r="R289" i="22" s="1"/>
  <c r="K288" i="22"/>
  <c r="R288" i="22" s="1"/>
  <c r="R287" i="22"/>
  <c r="R284" i="22"/>
  <c r="Y273" i="22"/>
  <c r="AC273" i="22" s="1"/>
  <c r="X273" i="22"/>
  <c r="AD273" i="22" s="1"/>
  <c r="AJ273" i="22"/>
  <c r="H273" i="22"/>
  <c r="Y268" i="22"/>
  <c r="AC268" i="22" s="1"/>
  <c r="X268" i="22"/>
  <c r="AD268" i="22" s="1"/>
  <c r="AJ268" i="22"/>
  <c r="H268" i="22"/>
  <c r="Y263" i="22"/>
  <c r="AC263" i="22" s="1"/>
  <c r="X263" i="22"/>
  <c r="AD263" i="22" s="1"/>
  <c r="AJ263" i="22"/>
  <c r="H263" i="22"/>
  <c r="Y258" i="22"/>
  <c r="AC258" i="22" s="1"/>
  <c r="X258" i="22"/>
  <c r="AD258" i="22" s="1"/>
  <c r="AJ258" i="22"/>
  <c r="H258" i="22"/>
  <c r="Y253" i="22"/>
  <c r="X253" i="22"/>
  <c r="AJ253" i="22"/>
  <c r="H253" i="22"/>
  <c r="T246" i="22"/>
  <c r="R246" i="22" s="1"/>
  <c r="T242" i="22"/>
  <c r="T238" i="22"/>
  <c r="R238" i="22" s="1"/>
  <c r="R235" i="22"/>
  <c r="T227" i="22"/>
  <c r="T225" i="22"/>
  <c r="R223" i="22"/>
  <c r="L216" i="22"/>
  <c r="K216" i="22" s="1"/>
  <c r="L206" i="22"/>
  <c r="K206" i="22" s="1"/>
  <c r="L196" i="22"/>
  <c r="K196" i="22" s="1"/>
  <c r="T201" i="22" s="1"/>
  <c r="R201" i="22" s="1"/>
  <c r="R195" i="22" s="1"/>
  <c r="R191" i="22"/>
  <c r="R190" i="22"/>
  <c r="R189" i="22"/>
  <c r="Y187" i="22"/>
  <c r="X187" i="22"/>
  <c r="R185" i="22"/>
  <c r="B184" i="22"/>
  <c r="R183" i="22"/>
  <c r="R182" i="22"/>
  <c r="R181" i="22"/>
  <c r="Y179" i="22"/>
  <c r="X179" i="22"/>
  <c r="R177" i="22"/>
  <c r="B176" i="22"/>
  <c r="R175" i="22"/>
  <c r="R174" i="22"/>
  <c r="R173" i="22"/>
  <c r="Y171" i="22"/>
  <c r="X171" i="22"/>
  <c r="R169" i="22"/>
  <c r="B168" i="22"/>
  <c r="R167" i="22"/>
  <c r="R166" i="22"/>
  <c r="R165" i="22"/>
  <c r="Y163" i="22"/>
  <c r="X163" i="22"/>
  <c r="R161" i="22"/>
  <c r="B160" i="22"/>
  <c r="R159" i="22"/>
  <c r="R158" i="22"/>
  <c r="R157" i="22"/>
  <c r="Y155" i="22"/>
  <c r="X155" i="22"/>
  <c r="R153" i="22"/>
  <c r="B152" i="22"/>
  <c r="M145" i="22"/>
  <c r="M142" i="22"/>
  <c r="M139" i="22"/>
  <c r="M136" i="22"/>
  <c r="M133" i="22"/>
  <c r="G73" i="17"/>
  <c r="Y115" i="22"/>
  <c r="AC115" i="22" s="1"/>
  <c r="AJ115" i="22"/>
  <c r="AA115" i="22"/>
  <c r="G115" i="22"/>
  <c r="D115" i="22"/>
  <c r="H115" i="22" s="1"/>
  <c r="B114" i="22"/>
  <c r="Y110" i="22"/>
  <c r="AC110" i="22" s="1"/>
  <c r="AJ110" i="22"/>
  <c r="AA110" i="22"/>
  <c r="D110" i="22"/>
  <c r="C110" i="22"/>
  <c r="B109" i="22"/>
  <c r="Y105" i="22"/>
  <c r="AC105" i="22" s="1"/>
  <c r="AJ105" i="22"/>
  <c r="AA105" i="22"/>
  <c r="D105" i="22"/>
  <c r="H105" i="22" s="1"/>
  <c r="C105" i="22"/>
  <c r="B104" i="22"/>
  <c r="Y100" i="22"/>
  <c r="AC100" i="22" s="1"/>
  <c r="AJ100" i="22"/>
  <c r="AA100" i="22"/>
  <c r="D100" i="22"/>
  <c r="H100" i="22" s="1"/>
  <c r="C100" i="22"/>
  <c r="B99" i="22"/>
  <c r="Y95" i="22"/>
  <c r="AC95" i="22" s="1"/>
  <c r="AJ95" i="22"/>
  <c r="AA95" i="22"/>
  <c r="G95" i="22"/>
  <c r="D95" i="22"/>
  <c r="H95" i="22" s="1"/>
  <c r="C95" i="22"/>
  <c r="B94" i="22"/>
  <c r="Y75" i="22"/>
  <c r="AC75" i="22" s="1"/>
  <c r="X75" i="22"/>
  <c r="AJ75" i="22"/>
  <c r="H75" i="22"/>
  <c r="Y70" i="22"/>
  <c r="AC70" i="22" s="1"/>
  <c r="X70" i="22"/>
  <c r="AJ70" i="22"/>
  <c r="AA70" i="22"/>
  <c r="H70" i="22"/>
  <c r="Y65" i="22"/>
  <c r="X65" i="22"/>
  <c r="AJ65" i="22"/>
  <c r="AA65" i="22"/>
  <c r="H65" i="22"/>
  <c r="Y60" i="22"/>
  <c r="AC60" i="22" s="1"/>
  <c r="X60" i="22"/>
  <c r="AJ60" i="22"/>
  <c r="AA60" i="22"/>
  <c r="H60" i="22"/>
  <c r="Y55" i="22"/>
  <c r="AC55" i="22" s="1"/>
  <c r="X55" i="22"/>
  <c r="AJ55" i="22"/>
  <c r="AA55" i="22"/>
  <c r="H55" i="22"/>
  <c r="U48" i="22"/>
  <c r="T48" i="22"/>
  <c r="V48" i="22" s="1"/>
  <c r="U44" i="22"/>
  <c r="T44" i="22"/>
  <c r="V44" i="22" s="1"/>
  <c r="U40" i="22"/>
  <c r="T40" i="22"/>
  <c r="V40" i="22" s="1"/>
  <c r="R30" i="22"/>
  <c r="Y413" i="22" s="1"/>
  <c r="Y444" i="22" s="1"/>
  <c r="U24" i="28" s="1"/>
  <c r="R31" i="22"/>
  <c r="Y410" i="22" s="1"/>
  <c r="R32" i="22"/>
  <c r="Y411" i="22" s="1"/>
  <c r="R34" i="22"/>
  <c r="Y412" i="22" s="1"/>
  <c r="G26" i="22"/>
  <c r="AD21" i="22"/>
  <c r="AC21" i="22"/>
  <c r="Y21" i="22"/>
  <c r="X21" i="22"/>
  <c r="AJ21" i="22"/>
  <c r="AA21" i="22"/>
  <c r="AD16" i="22"/>
  <c r="AC16" i="22"/>
  <c r="Y16" i="22"/>
  <c r="X16" i="22"/>
  <c r="AJ16" i="22"/>
  <c r="AA16" i="22"/>
  <c r="Y11" i="22"/>
  <c r="AC11" i="22" s="1"/>
  <c r="X11" i="22"/>
  <c r="AJ11" i="22"/>
  <c r="AA11" i="22"/>
  <c r="T325" i="23"/>
  <c r="T238" i="23"/>
  <c r="T236" i="23"/>
  <c r="R234" i="23"/>
  <c r="R319" i="23"/>
  <c r="Y442" i="23" s="1"/>
  <c r="R318" i="23"/>
  <c r="R316" i="23"/>
  <c r="K312" i="23"/>
  <c r="R312" i="23" s="1"/>
  <c r="K311" i="23"/>
  <c r="R311" i="23" s="1"/>
  <c r="R310" i="23"/>
  <c r="K309" i="23"/>
  <c r="R309" i="23" s="1"/>
  <c r="K308" i="23"/>
  <c r="R308" i="23" s="1"/>
  <c r="R307" i="23"/>
  <c r="K306" i="23"/>
  <c r="R306" i="23" s="1"/>
  <c r="K305" i="23"/>
  <c r="R305" i="23" s="1"/>
  <c r="R304" i="23"/>
  <c r="K303" i="23"/>
  <c r="R303" i="23" s="1"/>
  <c r="K302" i="23"/>
  <c r="R302" i="23" s="1"/>
  <c r="R301" i="23"/>
  <c r="K300" i="23"/>
  <c r="R300" i="23" s="1"/>
  <c r="K299" i="23"/>
  <c r="R299" i="23" s="1"/>
  <c r="R298" i="23"/>
  <c r="R295" i="23"/>
  <c r="Y284" i="23"/>
  <c r="AC284" i="23" s="1"/>
  <c r="X284" i="23"/>
  <c r="AD284" i="23" s="1"/>
  <c r="AJ284" i="23"/>
  <c r="H284" i="23"/>
  <c r="Y279" i="23"/>
  <c r="AC279" i="23" s="1"/>
  <c r="X279" i="23"/>
  <c r="AD279" i="23" s="1"/>
  <c r="AJ279" i="23"/>
  <c r="H279" i="23"/>
  <c r="Y274" i="23"/>
  <c r="AC274" i="23" s="1"/>
  <c r="X274" i="23"/>
  <c r="AD274" i="23" s="1"/>
  <c r="AJ274" i="23"/>
  <c r="H274" i="23"/>
  <c r="Y269" i="23"/>
  <c r="AC269" i="23" s="1"/>
  <c r="X269" i="23"/>
  <c r="AD269" i="23" s="1"/>
  <c r="AJ269" i="23"/>
  <c r="H269" i="23"/>
  <c r="Y264" i="23"/>
  <c r="AC264" i="23" s="1"/>
  <c r="X264" i="23"/>
  <c r="AJ264" i="23"/>
  <c r="AA264" i="23"/>
  <c r="H264" i="23"/>
  <c r="R261" i="23"/>
  <c r="T257" i="23"/>
  <c r="R257" i="23" s="1"/>
  <c r="T253" i="23"/>
  <c r="T249" i="23"/>
  <c r="R249" i="23" s="1"/>
  <c r="L227" i="23"/>
  <c r="K227" i="23" s="1"/>
  <c r="L217" i="23"/>
  <c r="K217" i="23" s="1"/>
  <c r="L207" i="23"/>
  <c r="K207" i="23" s="1"/>
  <c r="L197" i="23"/>
  <c r="K197" i="23" s="1"/>
  <c r="R192" i="23"/>
  <c r="R191" i="23"/>
  <c r="R190" i="23"/>
  <c r="Y188" i="23"/>
  <c r="X188" i="23"/>
  <c r="R186" i="23"/>
  <c r="B185" i="23"/>
  <c r="R184" i="23"/>
  <c r="R183" i="23"/>
  <c r="R182" i="23"/>
  <c r="Y180" i="23"/>
  <c r="X180" i="23"/>
  <c r="R178" i="23"/>
  <c r="B177" i="23"/>
  <c r="R176" i="23"/>
  <c r="R175" i="23"/>
  <c r="R174" i="23"/>
  <c r="Y172" i="23"/>
  <c r="X172" i="23"/>
  <c r="R170" i="23"/>
  <c r="B169" i="23"/>
  <c r="R168" i="23"/>
  <c r="R167" i="23"/>
  <c r="R166" i="23"/>
  <c r="Y164" i="23"/>
  <c r="X164" i="23"/>
  <c r="R162" i="23"/>
  <c r="B161" i="23"/>
  <c r="R160" i="23"/>
  <c r="R159" i="23"/>
  <c r="R158" i="23"/>
  <c r="Y156" i="23"/>
  <c r="X156" i="23"/>
  <c r="R154" i="23"/>
  <c r="B153" i="23"/>
  <c r="G53" i="17"/>
  <c r="H29" i="19"/>
  <c r="H28" i="19"/>
  <c r="H27" i="19"/>
  <c r="H26" i="19"/>
  <c r="H25" i="19"/>
  <c r="H24" i="19"/>
  <c r="H23" i="19"/>
  <c r="H22" i="19"/>
  <c r="H21" i="19"/>
  <c r="H20" i="19"/>
  <c r="H19" i="19"/>
  <c r="H18" i="19"/>
  <c r="H17" i="19"/>
  <c r="H16" i="19"/>
  <c r="H15" i="19"/>
  <c r="Y116" i="23"/>
  <c r="AC116" i="23" s="1"/>
  <c r="AJ116" i="23"/>
  <c r="AA116" i="23"/>
  <c r="G116" i="23"/>
  <c r="D116" i="23"/>
  <c r="H116" i="23" s="1"/>
  <c r="B115" i="23"/>
  <c r="Y111" i="23"/>
  <c r="AC111" i="23" s="1"/>
  <c r="AJ111" i="23"/>
  <c r="AA111" i="23"/>
  <c r="D111" i="23"/>
  <c r="C111" i="23"/>
  <c r="B110" i="23"/>
  <c r="Y106" i="23"/>
  <c r="AC106" i="23" s="1"/>
  <c r="AJ106" i="23"/>
  <c r="AA106" i="23"/>
  <c r="D106" i="23"/>
  <c r="H106" i="23" s="1"/>
  <c r="C106" i="23"/>
  <c r="B105" i="23"/>
  <c r="Y101" i="23"/>
  <c r="AJ101" i="23"/>
  <c r="AA101" i="23"/>
  <c r="D101" i="23"/>
  <c r="H101" i="23" s="1"/>
  <c r="C101" i="23"/>
  <c r="B100" i="23"/>
  <c r="Y96" i="23"/>
  <c r="AC96" i="23" s="1"/>
  <c r="AJ96" i="23"/>
  <c r="AA96" i="23"/>
  <c r="G96" i="23"/>
  <c r="D96" i="23"/>
  <c r="H96" i="23" s="1"/>
  <c r="C96" i="23"/>
  <c r="B95" i="23"/>
  <c r="R83" i="23"/>
  <c r="Y76" i="23"/>
  <c r="AC76" i="23" s="1"/>
  <c r="X76" i="23"/>
  <c r="AJ76" i="23"/>
  <c r="H76" i="23"/>
  <c r="Y71" i="23"/>
  <c r="AC71" i="23" s="1"/>
  <c r="X71" i="23"/>
  <c r="AJ71" i="23"/>
  <c r="AA71" i="23"/>
  <c r="H71" i="23"/>
  <c r="Y66" i="23"/>
  <c r="X66" i="23"/>
  <c r="AJ66" i="23"/>
  <c r="AA66" i="23"/>
  <c r="H66" i="23"/>
  <c r="Y61" i="23"/>
  <c r="AC61" i="23" s="1"/>
  <c r="X61" i="23"/>
  <c r="AJ61" i="23"/>
  <c r="AA61" i="23"/>
  <c r="H61" i="23"/>
  <c r="Y56" i="23"/>
  <c r="AC56" i="23" s="1"/>
  <c r="X56" i="23"/>
  <c r="AJ56" i="23"/>
  <c r="AA56" i="23"/>
  <c r="H56" i="23"/>
  <c r="R35" i="23"/>
  <c r="Y413" i="23" s="1"/>
  <c r="R33" i="23"/>
  <c r="Y412" i="23" s="1"/>
  <c r="R32" i="23"/>
  <c r="R31" i="23"/>
  <c r="Y414" i="23" s="1"/>
  <c r="Y446" i="23" s="1"/>
  <c r="U23" i="28" s="1"/>
  <c r="G27" i="23"/>
  <c r="AD22" i="23"/>
  <c r="AC22" i="23"/>
  <c r="Y22" i="23"/>
  <c r="X22" i="23"/>
  <c r="AJ22" i="23"/>
  <c r="AA22" i="23"/>
  <c r="AD17" i="23"/>
  <c r="AC17" i="23"/>
  <c r="Y17" i="23"/>
  <c r="X17" i="23"/>
  <c r="AJ17" i="23"/>
  <c r="AI17" i="23"/>
  <c r="AA17" i="23"/>
  <c r="Y12" i="23"/>
  <c r="AC12" i="23" s="1"/>
  <c r="X12" i="23"/>
  <c r="AJ12" i="23"/>
  <c r="AA12" i="23"/>
  <c r="T324" i="24"/>
  <c r="R322" i="24"/>
  <c r="T237" i="24"/>
  <c r="T235" i="24"/>
  <c r="R233" i="24"/>
  <c r="R318" i="24"/>
  <c r="Y437" i="24" s="1"/>
  <c r="R317" i="24"/>
  <c r="R315" i="24"/>
  <c r="K311" i="24"/>
  <c r="R311" i="24" s="1"/>
  <c r="K310" i="24"/>
  <c r="R310" i="24" s="1"/>
  <c r="R309" i="24"/>
  <c r="K308" i="24"/>
  <c r="R308" i="24" s="1"/>
  <c r="K307" i="24"/>
  <c r="R307" i="24" s="1"/>
  <c r="R306" i="24"/>
  <c r="K305" i="24"/>
  <c r="R305" i="24" s="1"/>
  <c r="K304" i="24"/>
  <c r="R304" i="24" s="1"/>
  <c r="R303" i="24"/>
  <c r="K302" i="24"/>
  <c r="R302" i="24" s="1"/>
  <c r="K301" i="24"/>
  <c r="R301" i="24" s="1"/>
  <c r="R300" i="24"/>
  <c r="K299" i="24"/>
  <c r="R299" i="24" s="1"/>
  <c r="K298" i="24"/>
  <c r="R298" i="24" s="1"/>
  <c r="R297" i="24"/>
  <c r="R294" i="24"/>
  <c r="Y283" i="24"/>
  <c r="AC283" i="24" s="1"/>
  <c r="X283" i="24"/>
  <c r="AD283" i="24" s="1"/>
  <c r="AJ283" i="24"/>
  <c r="H283" i="24"/>
  <c r="Y278" i="24"/>
  <c r="AC278" i="24" s="1"/>
  <c r="X278" i="24"/>
  <c r="AD278" i="24" s="1"/>
  <c r="AJ278" i="24"/>
  <c r="H278" i="24"/>
  <c r="Y273" i="24"/>
  <c r="AC273" i="24" s="1"/>
  <c r="X273" i="24"/>
  <c r="AD273" i="24" s="1"/>
  <c r="AJ273" i="24"/>
  <c r="H273" i="24"/>
  <c r="Y268" i="24"/>
  <c r="AC268" i="24" s="1"/>
  <c r="X268" i="24"/>
  <c r="AD268" i="24" s="1"/>
  <c r="AJ268" i="24"/>
  <c r="H268" i="24"/>
  <c r="Y263" i="24"/>
  <c r="X263" i="24"/>
  <c r="AJ263" i="24"/>
  <c r="AA263" i="24"/>
  <c r="H263" i="24"/>
  <c r="T256" i="24"/>
  <c r="T252" i="24"/>
  <c r="T248" i="24"/>
  <c r="R243" i="24"/>
  <c r="R229" i="24"/>
  <c r="L222" i="24"/>
  <c r="K222" i="24" s="1"/>
  <c r="T227" i="24" s="1"/>
  <c r="R227" i="24" s="1"/>
  <c r="U214" i="24"/>
  <c r="T214" i="24"/>
  <c r="V214" i="24" s="1"/>
  <c r="U208" i="24"/>
  <c r="T208" i="24"/>
  <c r="V208" i="24" s="1"/>
  <c r="U202" i="24"/>
  <c r="T202" i="24"/>
  <c r="V202" i="24" s="1"/>
  <c r="U196" i="24"/>
  <c r="T196" i="24"/>
  <c r="V196" i="24" s="1"/>
  <c r="R191" i="24"/>
  <c r="R190" i="24"/>
  <c r="R189" i="24"/>
  <c r="Y187" i="24"/>
  <c r="X187" i="24"/>
  <c r="R185" i="24"/>
  <c r="B184" i="24"/>
  <c r="R183" i="24"/>
  <c r="R182" i="24"/>
  <c r="R181" i="24"/>
  <c r="Y179" i="24"/>
  <c r="X179" i="24"/>
  <c r="R177" i="24"/>
  <c r="B176" i="24"/>
  <c r="R175" i="24"/>
  <c r="R174" i="24"/>
  <c r="R173" i="24"/>
  <c r="Y171" i="24"/>
  <c r="X171" i="24"/>
  <c r="R169" i="24"/>
  <c r="B168" i="24"/>
  <c r="R167" i="24"/>
  <c r="R166" i="24"/>
  <c r="R165" i="24"/>
  <c r="Y163" i="24"/>
  <c r="X163" i="24"/>
  <c r="R161" i="24"/>
  <c r="B160" i="24"/>
  <c r="R159" i="24"/>
  <c r="R158" i="24"/>
  <c r="R157" i="24"/>
  <c r="Y155" i="24"/>
  <c r="X155" i="24"/>
  <c r="R153" i="24"/>
  <c r="B152" i="24"/>
  <c r="F24" i="19"/>
  <c r="F23" i="19"/>
  <c r="F22" i="19"/>
  <c r="F21" i="19"/>
  <c r="F20" i="19"/>
  <c r="F19" i="19"/>
  <c r="F18" i="19"/>
  <c r="F17" i="19"/>
  <c r="F16" i="19"/>
  <c r="F15" i="19"/>
  <c r="G34" i="17"/>
  <c r="Y122" i="24"/>
  <c r="AC122" i="24" s="1"/>
  <c r="AJ122" i="24"/>
  <c r="AA122" i="24"/>
  <c r="G122" i="24"/>
  <c r="D122" i="24"/>
  <c r="H122" i="24" s="1"/>
  <c r="B121" i="24"/>
  <c r="Y117" i="24"/>
  <c r="AC117" i="24" s="1"/>
  <c r="AJ117" i="24"/>
  <c r="AA117" i="24"/>
  <c r="D117" i="24"/>
  <c r="C117" i="24"/>
  <c r="B116" i="24"/>
  <c r="Y112" i="24"/>
  <c r="AC112" i="24" s="1"/>
  <c r="AJ112" i="24"/>
  <c r="AA112" i="24"/>
  <c r="D112" i="24"/>
  <c r="H112" i="24" s="1"/>
  <c r="C112" i="24"/>
  <c r="B111" i="24"/>
  <c r="Y107" i="24"/>
  <c r="AC107" i="24" s="1"/>
  <c r="AJ107" i="24"/>
  <c r="AA107" i="24"/>
  <c r="D107" i="24"/>
  <c r="H107" i="24" s="1"/>
  <c r="C107" i="24"/>
  <c r="B106" i="24"/>
  <c r="Y102" i="24"/>
  <c r="AC102" i="24" s="1"/>
  <c r="AJ102" i="24"/>
  <c r="AA102" i="24"/>
  <c r="G102" i="24"/>
  <c r="D102" i="24"/>
  <c r="H102" i="24" s="1"/>
  <c r="C102" i="24"/>
  <c r="B101" i="24"/>
  <c r="AA62" i="24"/>
  <c r="Y82" i="24"/>
  <c r="X82" i="24"/>
  <c r="AJ82" i="24"/>
  <c r="H82" i="24"/>
  <c r="Y77" i="24"/>
  <c r="X77" i="24"/>
  <c r="AJ77" i="24"/>
  <c r="AA77" i="24"/>
  <c r="H77" i="24"/>
  <c r="Y72" i="24"/>
  <c r="AC72" i="24" s="1"/>
  <c r="X72" i="24"/>
  <c r="AJ72" i="24"/>
  <c r="AA72" i="24"/>
  <c r="H72" i="24"/>
  <c r="Y67" i="24"/>
  <c r="AC67" i="24" s="1"/>
  <c r="X67" i="24"/>
  <c r="AJ67" i="24"/>
  <c r="AA67" i="24"/>
  <c r="H67" i="24"/>
  <c r="Y62" i="24"/>
  <c r="AC62" i="24" s="1"/>
  <c r="X62" i="24"/>
  <c r="AJ62" i="24"/>
  <c r="H62" i="24"/>
  <c r="U39" i="24"/>
  <c r="T39" i="24"/>
  <c r="V39" i="24" s="1"/>
  <c r="R34" i="24"/>
  <c r="Y412" i="24" s="1"/>
  <c r="R32" i="24"/>
  <c r="Y411" i="24" s="1"/>
  <c r="R30" i="24"/>
  <c r="Y413" i="24" s="1"/>
  <c r="Y441" i="24" s="1"/>
  <c r="G26" i="24"/>
  <c r="AD21" i="24"/>
  <c r="AC21" i="24"/>
  <c r="Y21" i="24"/>
  <c r="X21" i="24"/>
  <c r="AJ21" i="24"/>
  <c r="AA21" i="24"/>
  <c r="AD16" i="24"/>
  <c r="AC16" i="24"/>
  <c r="Y16" i="24"/>
  <c r="X16" i="24"/>
  <c r="AJ16" i="24"/>
  <c r="AA16" i="24"/>
  <c r="Y11" i="24"/>
  <c r="AC11" i="24" s="1"/>
  <c r="X11" i="24"/>
  <c r="AJ11" i="24"/>
  <c r="AA11" i="24"/>
  <c r="T448" i="9"/>
  <c r="R446" i="9"/>
  <c r="T361" i="9"/>
  <c r="R359" i="9"/>
  <c r="R78" i="9"/>
  <c r="R441" i="9"/>
  <c r="L28" i="20"/>
  <c r="K435" i="9"/>
  <c r="R435" i="9" s="1"/>
  <c r="K434" i="9"/>
  <c r="R434" i="9" s="1"/>
  <c r="K432" i="9"/>
  <c r="R432" i="9" s="1"/>
  <c r="K431" i="9"/>
  <c r="R431" i="9" s="1"/>
  <c r="K429" i="9"/>
  <c r="R429" i="9" s="1"/>
  <c r="K428" i="9"/>
  <c r="R428" i="9" s="1"/>
  <c r="K426" i="9"/>
  <c r="R426" i="9" s="1"/>
  <c r="K425" i="9"/>
  <c r="R425" i="9" s="1"/>
  <c r="K423" i="9"/>
  <c r="R423" i="9" s="1"/>
  <c r="K422" i="9"/>
  <c r="R422" i="9" s="1"/>
  <c r="R433" i="9"/>
  <c r="R430" i="9"/>
  <c r="R427" i="9"/>
  <c r="R424" i="9"/>
  <c r="H30" i="20"/>
  <c r="H29" i="20"/>
  <c r="Y407" i="9"/>
  <c r="AC407" i="9" s="1"/>
  <c r="X407" i="9"/>
  <c r="AD407" i="9" s="1"/>
  <c r="AJ407" i="9"/>
  <c r="Y402" i="9"/>
  <c r="AC402" i="9" s="1"/>
  <c r="X402" i="9"/>
  <c r="AD402" i="9" s="1"/>
  <c r="AJ402" i="9"/>
  <c r="Y397" i="9"/>
  <c r="AC397" i="9" s="1"/>
  <c r="X397" i="9"/>
  <c r="AD397" i="9" s="1"/>
  <c r="AJ397" i="9"/>
  <c r="H407" i="9"/>
  <c r="H402" i="9"/>
  <c r="H397" i="9"/>
  <c r="H392" i="9"/>
  <c r="H387" i="9"/>
  <c r="AD267" i="9"/>
  <c r="AC267" i="9"/>
  <c r="Y267" i="9"/>
  <c r="X267" i="9"/>
  <c r="AJ267" i="9"/>
  <c r="AD262" i="9"/>
  <c r="AC262" i="9"/>
  <c r="Y262" i="9"/>
  <c r="X262" i="9"/>
  <c r="AJ262" i="9"/>
  <c r="Y257" i="9"/>
  <c r="AC257" i="9" s="1"/>
  <c r="X257" i="9"/>
  <c r="AJ257" i="9"/>
  <c r="AD21" i="9"/>
  <c r="AC21" i="9"/>
  <c r="Y21" i="9"/>
  <c r="X21" i="9"/>
  <c r="AJ21" i="9"/>
  <c r="AD16" i="9"/>
  <c r="AC16" i="9"/>
  <c r="Y16" i="9"/>
  <c r="X16" i="9"/>
  <c r="AJ16" i="9"/>
  <c r="X11" i="9"/>
  <c r="Y387" i="9"/>
  <c r="AC387" i="9" s="1"/>
  <c r="X387" i="9"/>
  <c r="AJ387" i="9"/>
  <c r="AA387" i="9"/>
  <c r="X47" i="9"/>
  <c r="Y47" i="9"/>
  <c r="AC47" i="9" s="1"/>
  <c r="AJ47" i="9"/>
  <c r="Y11" i="9"/>
  <c r="R355" i="9"/>
  <c r="Y509" i="9" s="1"/>
  <c r="AA267" i="9"/>
  <c r="AA262" i="9"/>
  <c r="E272" i="9"/>
  <c r="M290" i="9"/>
  <c r="M287" i="9"/>
  <c r="M284" i="9"/>
  <c r="M281" i="9"/>
  <c r="M278" i="9"/>
  <c r="R176" i="9"/>
  <c r="Y494" i="9" s="1"/>
  <c r="L169" i="9"/>
  <c r="K169" i="9" s="1"/>
  <c r="N31" i="20"/>
  <c r="H31" i="20" s="1"/>
  <c r="D139" i="24" l="1"/>
  <c r="D136" i="24"/>
  <c r="K133" i="24"/>
  <c r="R133" i="24" s="1"/>
  <c r="Y423" i="24" s="1"/>
  <c r="D133" i="24"/>
  <c r="D142" i="24"/>
  <c r="D145" i="24"/>
  <c r="K137" i="23"/>
  <c r="R137" i="23" s="1"/>
  <c r="D137" i="23"/>
  <c r="K134" i="23"/>
  <c r="R134" i="23" s="1"/>
  <c r="D134" i="23"/>
  <c r="M134" i="23" s="1"/>
  <c r="K261" i="25"/>
  <c r="Y438" i="21"/>
  <c r="P25" i="28" s="1"/>
  <c r="Y439" i="21"/>
  <c r="Y409" i="21"/>
  <c r="Y437" i="22"/>
  <c r="Y438" i="22"/>
  <c r="Y447" i="22" s="1"/>
  <c r="V24" i="28" s="1"/>
  <c r="Y434" i="24"/>
  <c r="Y435" i="24"/>
  <c r="Y424" i="24"/>
  <c r="Y444" i="24"/>
  <c r="Y425" i="23"/>
  <c r="K19" i="23"/>
  <c r="Y441" i="23"/>
  <c r="Z9" i="26"/>
  <c r="Y9" i="26"/>
  <c r="X9" i="26"/>
  <c r="W9" i="26"/>
  <c r="V9" i="26"/>
  <c r="U9" i="26"/>
  <c r="Y437" i="25"/>
  <c r="Y445" i="25"/>
  <c r="Y430" i="25"/>
  <c r="Y435" i="25"/>
  <c r="AB240" i="25"/>
  <c r="X301" i="25"/>
  <c r="W301" i="25"/>
  <c r="V301" i="25"/>
  <c r="U301" i="25"/>
  <c r="Z301" i="25"/>
  <c r="Y301" i="25"/>
  <c r="Y409" i="25"/>
  <c r="Z212" i="25"/>
  <c r="Y212" i="25"/>
  <c r="X212" i="25"/>
  <c r="U212" i="25"/>
  <c r="W212" i="25"/>
  <c r="V212" i="25"/>
  <c r="Y214" i="25"/>
  <c r="X214" i="25"/>
  <c r="W214" i="25"/>
  <c r="U214" i="25"/>
  <c r="Z214" i="25"/>
  <c r="V214" i="25"/>
  <c r="X234" i="21"/>
  <c r="W234" i="21"/>
  <c r="U234" i="21"/>
  <c r="Z234" i="21"/>
  <c r="Y234" i="21"/>
  <c r="V234" i="21"/>
  <c r="Y448" i="21"/>
  <c r="W322" i="21"/>
  <c r="V322" i="21"/>
  <c r="U322" i="21"/>
  <c r="Z322" i="21"/>
  <c r="Y322" i="21"/>
  <c r="X322" i="21"/>
  <c r="U232" i="21"/>
  <c r="Z232" i="21"/>
  <c r="Y232" i="21"/>
  <c r="W232" i="21"/>
  <c r="X232" i="21"/>
  <c r="V232" i="21"/>
  <c r="Y424" i="22"/>
  <c r="Z227" i="22"/>
  <c r="Y227" i="22"/>
  <c r="X227" i="22"/>
  <c r="W227" i="22"/>
  <c r="U227" i="22"/>
  <c r="V227" i="22"/>
  <c r="X225" i="22"/>
  <c r="W225" i="22"/>
  <c r="V225" i="22"/>
  <c r="U225" i="22"/>
  <c r="Z225" i="22"/>
  <c r="Y225" i="22"/>
  <c r="X314" i="22"/>
  <c r="W314" i="22"/>
  <c r="Y314" i="22"/>
  <c r="U314" i="22"/>
  <c r="Z314" i="22"/>
  <c r="V314" i="22"/>
  <c r="Y409" i="22"/>
  <c r="Y436" i="24"/>
  <c r="Z235" i="24"/>
  <c r="Y235" i="24"/>
  <c r="X235" i="24"/>
  <c r="W235" i="24"/>
  <c r="V235" i="24"/>
  <c r="U235" i="24"/>
  <c r="Z237" i="24"/>
  <c r="Y237" i="24"/>
  <c r="X237" i="24"/>
  <c r="W237" i="24"/>
  <c r="U237" i="24"/>
  <c r="V237" i="24"/>
  <c r="U324" i="24"/>
  <c r="Z324" i="24"/>
  <c r="W324" i="24"/>
  <c r="Y324" i="24"/>
  <c r="X324" i="24"/>
  <c r="V324" i="24"/>
  <c r="Y439" i="23"/>
  <c r="Y440" i="23"/>
  <c r="Y449" i="23" s="1"/>
  <c r="V23" i="28" s="1"/>
  <c r="W238" i="23"/>
  <c r="U238" i="23"/>
  <c r="Z238" i="23"/>
  <c r="Y238" i="23"/>
  <c r="X238" i="23"/>
  <c r="V238" i="23"/>
  <c r="Y325" i="23"/>
  <c r="Z325" i="23"/>
  <c r="X325" i="23"/>
  <c r="W325" i="23"/>
  <c r="U325" i="23"/>
  <c r="V325" i="23"/>
  <c r="U236" i="23"/>
  <c r="Z236" i="23"/>
  <c r="Y236" i="23"/>
  <c r="X236" i="23"/>
  <c r="W236" i="23"/>
  <c r="V236" i="23"/>
  <c r="Y519" i="9"/>
  <c r="U448" i="9"/>
  <c r="Z448" i="9"/>
  <c r="W448" i="9"/>
  <c r="Y448" i="9"/>
  <c r="X448" i="9"/>
  <c r="V448" i="9"/>
  <c r="Y361" i="9"/>
  <c r="X361" i="9"/>
  <c r="W361" i="9"/>
  <c r="U361" i="9"/>
  <c r="V361" i="9"/>
  <c r="Z361" i="9"/>
  <c r="AE273" i="22"/>
  <c r="AE260" i="25"/>
  <c r="AB253" i="22"/>
  <c r="AC253" i="22"/>
  <c r="AI240" i="25"/>
  <c r="K241" i="25" s="1"/>
  <c r="R221" i="24"/>
  <c r="AI284" i="23"/>
  <c r="K285" i="23" s="1"/>
  <c r="AI264" i="23"/>
  <c r="K265" i="23" s="1"/>
  <c r="AI253" i="22"/>
  <c r="K254" i="22" s="1"/>
  <c r="AI283" i="24"/>
  <c r="K284" i="24" s="1"/>
  <c r="AI260" i="21"/>
  <c r="K261" i="21" s="1"/>
  <c r="AI273" i="22"/>
  <c r="K274" i="22" s="1"/>
  <c r="AI280" i="21"/>
  <c r="K281" i="21" s="1"/>
  <c r="M133" i="24"/>
  <c r="M145" i="24"/>
  <c r="M136" i="24"/>
  <c r="M139" i="24"/>
  <c r="M142" i="24"/>
  <c r="AD240" i="25"/>
  <c r="AE240" i="25" s="1"/>
  <c r="AE245" i="25"/>
  <c r="AI250" i="25"/>
  <c r="K251" i="25" s="1"/>
  <c r="Z260" i="25"/>
  <c r="AI245" i="25"/>
  <c r="K246" i="25" s="1"/>
  <c r="R202" i="21"/>
  <c r="R222" i="21"/>
  <c r="Y428" i="21" s="1"/>
  <c r="Z240" i="25"/>
  <c r="AA240" i="25"/>
  <c r="R193" i="25"/>
  <c r="Y424" i="25" s="1"/>
  <c r="Z255" i="25"/>
  <c r="Z250" i="25"/>
  <c r="R204" i="25"/>
  <c r="Y425" i="25" s="1"/>
  <c r="Z245" i="25"/>
  <c r="AE250" i="25"/>
  <c r="AE255" i="25"/>
  <c r="AI255" i="25"/>
  <c r="K256" i="25" s="1"/>
  <c r="AI115" i="25"/>
  <c r="K116" i="25" s="1"/>
  <c r="AI110" i="25"/>
  <c r="K111" i="25" s="1"/>
  <c r="AI105" i="25"/>
  <c r="K106" i="25" s="1"/>
  <c r="AI100" i="25"/>
  <c r="K101" i="25" s="1"/>
  <c r="X115" i="25"/>
  <c r="AB115" i="25" s="1"/>
  <c r="AD75" i="25"/>
  <c r="AE75" i="25" s="1"/>
  <c r="X95" i="25"/>
  <c r="Z95" i="25" s="1"/>
  <c r="AI95" i="25"/>
  <c r="K96" i="25" s="1"/>
  <c r="AI75" i="25"/>
  <c r="K76" i="25" s="1"/>
  <c r="AC100" i="25"/>
  <c r="H110" i="25"/>
  <c r="Z55" i="25"/>
  <c r="AI60" i="25"/>
  <c r="K61" i="25" s="1"/>
  <c r="AI55" i="25"/>
  <c r="K56" i="25" s="1"/>
  <c r="AI65" i="25"/>
  <c r="K66" i="25" s="1"/>
  <c r="AD60" i="25"/>
  <c r="AE60" i="25" s="1"/>
  <c r="Z75" i="25"/>
  <c r="AI70" i="25"/>
  <c r="K71" i="25" s="1"/>
  <c r="Z65" i="25"/>
  <c r="AB65" i="25"/>
  <c r="AD55" i="25"/>
  <c r="AE55" i="25" s="1"/>
  <c r="AB60" i="25"/>
  <c r="AC65" i="25"/>
  <c r="AI21" i="25"/>
  <c r="K23" i="25" s="1"/>
  <c r="Z70" i="25"/>
  <c r="AD65" i="25"/>
  <c r="AD70" i="25"/>
  <c r="AB55" i="25"/>
  <c r="AB70" i="25"/>
  <c r="Z60" i="25"/>
  <c r="R40" i="25"/>
  <c r="AB21" i="25"/>
  <c r="AI11" i="25"/>
  <c r="K13" i="25" s="1"/>
  <c r="R44" i="25"/>
  <c r="R48" i="25"/>
  <c r="AE21" i="25"/>
  <c r="AE16" i="25"/>
  <c r="AI16" i="25"/>
  <c r="K18" i="25" s="1"/>
  <c r="Z21" i="25"/>
  <c r="AD11" i="25"/>
  <c r="AE11" i="25" s="1"/>
  <c r="Z16" i="25"/>
  <c r="AB16" i="25"/>
  <c r="Z11" i="25"/>
  <c r="AB11" i="25"/>
  <c r="R245" i="21"/>
  <c r="R253" i="21"/>
  <c r="AD260" i="21"/>
  <c r="AE260" i="21" s="1"/>
  <c r="Z260" i="21"/>
  <c r="Z280" i="21"/>
  <c r="AI265" i="21"/>
  <c r="K266" i="21" s="1"/>
  <c r="R212" i="21"/>
  <c r="Y427" i="21" s="1"/>
  <c r="R249" i="21"/>
  <c r="AB260" i="21"/>
  <c r="AI270" i="21"/>
  <c r="K271" i="21" s="1"/>
  <c r="Z275" i="21"/>
  <c r="Z270" i="21"/>
  <c r="AE275" i="21"/>
  <c r="AE270" i="21"/>
  <c r="AI275" i="21"/>
  <c r="K276" i="21" s="1"/>
  <c r="AI115" i="21"/>
  <c r="K116" i="21" s="1"/>
  <c r="AE265" i="21"/>
  <c r="AE280" i="21"/>
  <c r="Z265" i="21"/>
  <c r="R188" i="21"/>
  <c r="Y424" i="21" s="1"/>
  <c r="AI110" i="21"/>
  <c r="K111" i="21" s="1"/>
  <c r="X115" i="21"/>
  <c r="Z115" i="21" s="1"/>
  <c r="AI100" i="21"/>
  <c r="K101" i="21" s="1"/>
  <c r="AI55" i="21"/>
  <c r="K56" i="21" s="1"/>
  <c r="X95" i="21"/>
  <c r="Z95" i="21" s="1"/>
  <c r="R48" i="21"/>
  <c r="AI95" i="21"/>
  <c r="K96" i="21" s="1"/>
  <c r="AD75" i="21"/>
  <c r="AE75" i="21" s="1"/>
  <c r="AI105" i="21"/>
  <c r="K106" i="21" s="1"/>
  <c r="H110" i="21"/>
  <c r="AI70" i="21"/>
  <c r="K71" i="21" s="1"/>
  <c r="Z65" i="21"/>
  <c r="Z75" i="21"/>
  <c r="R44" i="21"/>
  <c r="AD55" i="21"/>
  <c r="AE55" i="21" s="1"/>
  <c r="AB60" i="21"/>
  <c r="AI75" i="21"/>
  <c r="K76" i="21" s="1"/>
  <c r="AB65" i="21"/>
  <c r="Z55" i="21"/>
  <c r="AI65" i="21"/>
  <c r="K66" i="21" s="1"/>
  <c r="AD65" i="21"/>
  <c r="AE65" i="21" s="1"/>
  <c r="AI60" i="21"/>
  <c r="K61" i="21" s="1"/>
  <c r="AD70" i="21"/>
  <c r="AE70" i="21" s="1"/>
  <c r="AB55" i="21"/>
  <c r="AD60" i="21"/>
  <c r="AE60" i="21" s="1"/>
  <c r="Z70" i="21"/>
  <c r="AB70" i="21"/>
  <c r="Z60" i="21"/>
  <c r="R40" i="21"/>
  <c r="AE21" i="21"/>
  <c r="AI21" i="21"/>
  <c r="K23" i="21" s="1"/>
  <c r="AI11" i="21"/>
  <c r="K13" i="21" s="1"/>
  <c r="AE16" i="21"/>
  <c r="AB21" i="21"/>
  <c r="AI16" i="21"/>
  <c r="K18" i="21" s="1"/>
  <c r="Z21" i="21"/>
  <c r="AD11" i="21"/>
  <c r="AE11" i="21" s="1"/>
  <c r="AB16" i="21"/>
  <c r="Z16" i="21"/>
  <c r="Z11" i="21"/>
  <c r="AB11" i="21"/>
  <c r="AE263" i="22"/>
  <c r="Z253" i="22"/>
  <c r="AE258" i="22"/>
  <c r="AA253" i="22"/>
  <c r="AI263" i="22"/>
  <c r="K264" i="22" s="1"/>
  <c r="Z273" i="22"/>
  <c r="R205" i="22"/>
  <c r="Y426" i="22" s="1"/>
  <c r="AI258" i="22"/>
  <c r="K259" i="22" s="1"/>
  <c r="AD253" i="22"/>
  <c r="Z263" i="22"/>
  <c r="Z268" i="22"/>
  <c r="AE268" i="22"/>
  <c r="R242" i="22"/>
  <c r="Y432" i="22" s="1"/>
  <c r="AI268" i="22"/>
  <c r="K269" i="22" s="1"/>
  <c r="Z258" i="22"/>
  <c r="R215" i="22"/>
  <c r="Y427" i="22" s="1"/>
  <c r="Y425" i="22"/>
  <c r="AI110" i="22"/>
  <c r="K111" i="22" s="1"/>
  <c r="AI60" i="22"/>
  <c r="K61" i="22" s="1"/>
  <c r="AI75" i="22"/>
  <c r="K76" i="22" s="1"/>
  <c r="AI115" i="22"/>
  <c r="K116" i="22" s="1"/>
  <c r="X95" i="22"/>
  <c r="AD95" i="22" s="1"/>
  <c r="AE95" i="22" s="1"/>
  <c r="X115" i="22"/>
  <c r="AD115" i="22" s="1"/>
  <c r="AE115" i="22" s="1"/>
  <c r="AI55" i="22"/>
  <c r="K56" i="22" s="1"/>
  <c r="AI65" i="22"/>
  <c r="K66" i="22" s="1"/>
  <c r="AI95" i="22"/>
  <c r="K96" i="22" s="1"/>
  <c r="AI100" i="22"/>
  <c r="K101" i="22" s="1"/>
  <c r="AI105" i="22"/>
  <c r="K106" i="22" s="1"/>
  <c r="H110" i="22"/>
  <c r="AD55" i="22"/>
  <c r="AE55" i="22" s="1"/>
  <c r="R48" i="22"/>
  <c r="AB65" i="22"/>
  <c r="AB60" i="22"/>
  <c r="AD75" i="22"/>
  <c r="AE75" i="22" s="1"/>
  <c r="Z55" i="22"/>
  <c r="AC65" i="22"/>
  <c r="AD60" i="22"/>
  <c r="AE60" i="22" s="1"/>
  <c r="AD70" i="22"/>
  <c r="AE70" i="22" s="1"/>
  <c r="Z75" i="22"/>
  <c r="AB55" i="22"/>
  <c r="AD65" i="22"/>
  <c r="AI70" i="22"/>
  <c r="K71" i="22" s="1"/>
  <c r="Z70" i="22"/>
  <c r="AB70" i="22"/>
  <c r="Z65" i="22"/>
  <c r="Z60" i="22"/>
  <c r="R40" i="22"/>
  <c r="R44" i="22"/>
  <c r="AI21" i="22"/>
  <c r="K23" i="22" s="1"/>
  <c r="AE21" i="22"/>
  <c r="Z16" i="22"/>
  <c r="AE16" i="22"/>
  <c r="AI16" i="22"/>
  <c r="K18" i="22" s="1"/>
  <c r="AI11" i="22"/>
  <c r="K13" i="22" s="1"/>
  <c r="Z21" i="22"/>
  <c r="AB16" i="22"/>
  <c r="AD11" i="22"/>
  <c r="AB21" i="22"/>
  <c r="Z11" i="22"/>
  <c r="AB11" i="22"/>
  <c r="AI269" i="23"/>
  <c r="K270" i="23" s="1"/>
  <c r="AE284" i="23"/>
  <c r="Z264" i="23"/>
  <c r="AB264" i="23"/>
  <c r="Z284" i="23"/>
  <c r="Z269" i="23"/>
  <c r="AD264" i="23"/>
  <c r="AE264" i="23" s="1"/>
  <c r="AI274" i="23"/>
  <c r="K275" i="23" s="1"/>
  <c r="Z274" i="23"/>
  <c r="AE279" i="23"/>
  <c r="AE274" i="23"/>
  <c r="AI279" i="23"/>
  <c r="K280" i="23" s="1"/>
  <c r="R253" i="23"/>
  <c r="Y434" i="23" s="1"/>
  <c r="AE269" i="23"/>
  <c r="Z279" i="23"/>
  <c r="R226" i="23"/>
  <c r="Y429" i="23" s="1"/>
  <c r="R196" i="23"/>
  <c r="Y426" i="23" s="1"/>
  <c r="R216" i="23"/>
  <c r="Y428" i="23" s="1"/>
  <c r="X96" i="23"/>
  <c r="AB96" i="23" s="1"/>
  <c r="R206" i="23"/>
  <c r="AD76" i="23"/>
  <c r="AE76" i="23" s="1"/>
  <c r="AI116" i="23"/>
  <c r="K117" i="23" s="1"/>
  <c r="AI111" i="23"/>
  <c r="K112" i="23" s="1"/>
  <c r="AI106" i="23"/>
  <c r="K107" i="23" s="1"/>
  <c r="AI101" i="23"/>
  <c r="K102" i="23" s="1"/>
  <c r="AC101" i="23"/>
  <c r="X116" i="23"/>
  <c r="AD116" i="23" s="1"/>
  <c r="AE116" i="23" s="1"/>
  <c r="AI76" i="23"/>
  <c r="K77" i="23" s="1"/>
  <c r="AI96" i="23"/>
  <c r="K97" i="23" s="1"/>
  <c r="H111" i="23"/>
  <c r="Z71" i="23"/>
  <c r="AD56" i="23"/>
  <c r="AE56" i="23" s="1"/>
  <c r="AI66" i="23"/>
  <c r="K67" i="23" s="1"/>
  <c r="AI61" i="23"/>
  <c r="K62" i="23" s="1"/>
  <c r="Z66" i="23"/>
  <c r="AD61" i="23"/>
  <c r="AE61" i="23" s="1"/>
  <c r="Z76" i="23"/>
  <c r="AB66" i="23"/>
  <c r="Z56" i="23"/>
  <c r="Z61" i="23"/>
  <c r="AB56" i="23"/>
  <c r="AC66" i="23"/>
  <c r="AI56" i="23"/>
  <c r="K57" i="23" s="1"/>
  <c r="AD66" i="23"/>
  <c r="AD71" i="23"/>
  <c r="AE71" i="23" s="1"/>
  <c r="AI71" i="23"/>
  <c r="K72" i="23" s="1"/>
  <c r="AB61" i="23"/>
  <c r="AB71" i="23"/>
  <c r="AI22" i="23"/>
  <c r="K24" i="23" s="1"/>
  <c r="AI12" i="23"/>
  <c r="K14" i="23" s="1"/>
  <c r="AE17" i="23"/>
  <c r="AB22" i="23"/>
  <c r="Z22" i="23"/>
  <c r="AB17" i="23"/>
  <c r="AD12" i="23"/>
  <c r="Z17" i="23"/>
  <c r="AE22" i="23"/>
  <c r="Z12" i="23"/>
  <c r="AB12" i="23"/>
  <c r="AD263" i="24"/>
  <c r="AI263" i="24"/>
  <c r="K264" i="24" s="1"/>
  <c r="R256" i="24"/>
  <c r="AI122" i="24"/>
  <c r="K123" i="24" s="1"/>
  <c r="R252" i="24"/>
  <c r="AE278" i="24"/>
  <c r="Z263" i="24"/>
  <c r="AI273" i="24"/>
  <c r="K274" i="24" s="1"/>
  <c r="Z283" i="24"/>
  <c r="Z273" i="24"/>
  <c r="AI268" i="24"/>
  <c r="K269" i="24" s="1"/>
  <c r="AE283" i="24"/>
  <c r="AB263" i="24"/>
  <c r="AC263" i="24"/>
  <c r="Z278" i="24"/>
  <c r="R208" i="24"/>
  <c r="Z268" i="24"/>
  <c r="R248" i="24"/>
  <c r="AE273" i="24"/>
  <c r="AI278" i="24"/>
  <c r="K279" i="24" s="1"/>
  <c r="AE268" i="24"/>
  <c r="R196" i="24"/>
  <c r="R214" i="24"/>
  <c r="R202" i="24"/>
  <c r="AI82" i="24"/>
  <c r="K83" i="24" s="1"/>
  <c r="AI117" i="24"/>
  <c r="K118" i="24" s="1"/>
  <c r="AI107" i="24"/>
  <c r="K108" i="24" s="1"/>
  <c r="AI112" i="24"/>
  <c r="K113" i="24" s="1"/>
  <c r="X102" i="24"/>
  <c r="Z102" i="24" s="1"/>
  <c r="X122" i="24"/>
  <c r="AD122" i="24" s="1"/>
  <c r="AE122" i="24" s="1"/>
  <c r="H117" i="24"/>
  <c r="AI102" i="24"/>
  <c r="K103" i="24" s="1"/>
  <c r="AI72" i="24"/>
  <c r="K73" i="24" s="1"/>
  <c r="AI67" i="24"/>
  <c r="K68" i="24" s="1"/>
  <c r="AI16" i="24"/>
  <c r="K18" i="24" s="1"/>
  <c r="Z62" i="24"/>
  <c r="AD82" i="24"/>
  <c r="AB67" i="24"/>
  <c r="AD62" i="24"/>
  <c r="AE62" i="24" s="1"/>
  <c r="Z82" i="24"/>
  <c r="AD77" i="24"/>
  <c r="AC82" i="24"/>
  <c r="AD72" i="24"/>
  <c r="AE72" i="24" s="1"/>
  <c r="Z77" i="24"/>
  <c r="AI62" i="24"/>
  <c r="K63" i="24" s="1"/>
  <c r="AB72" i="24"/>
  <c r="Z67" i="24"/>
  <c r="AB62" i="24"/>
  <c r="AI77" i="24"/>
  <c r="K78" i="24" s="1"/>
  <c r="AD67" i="24"/>
  <c r="AE67" i="24" s="1"/>
  <c r="AB77" i="24"/>
  <c r="Z72" i="24"/>
  <c r="AC77" i="24"/>
  <c r="Z16" i="24"/>
  <c r="R39" i="24"/>
  <c r="Y414" i="24" s="1"/>
  <c r="R168" i="9"/>
  <c r="Y493" i="9" s="1"/>
  <c r="AD11" i="24"/>
  <c r="AE11" i="24" s="1"/>
  <c r="AI21" i="24"/>
  <c r="K23" i="24" s="1"/>
  <c r="AE16" i="24"/>
  <c r="AB21" i="24"/>
  <c r="AE21" i="24"/>
  <c r="Z21" i="24"/>
  <c r="AB16" i="24"/>
  <c r="AI11" i="24"/>
  <c r="K13" i="24" s="1"/>
  <c r="Z11" i="24"/>
  <c r="AB11" i="24"/>
  <c r="AI257" i="9"/>
  <c r="K259" i="9" s="1"/>
  <c r="AI402" i="9"/>
  <c r="K403" i="9" s="1"/>
  <c r="AI407" i="9"/>
  <c r="K408" i="9" s="1"/>
  <c r="AE397" i="9"/>
  <c r="AE407" i="9"/>
  <c r="AI397" i="9"/>
  <c r="K398" i="9" s="1"/>
  <c r="AE402" i="9"/>
  <c r="Z407" i="9"/>
  <c r="AI387" i="9"/>
  <c r="K388" i="9" s="1"/>
  <c r="AI267" i="9"/>
  <c r="K269" i="9" s="1"/>
  <c r="Z402" i="9"/>
  <c r="AD387" i="9"/>
  <c r="Z397" i="9"/>
  <c r="AE21" i="9"/>
  <c r="AB257" i="9"/>
  <c r="AI21" i="9"/>
  <c r="K23" i="9" s="1"/>
  <c r="AB267" i="9"/>
  <c r="AE267" i="9"/>
  <c r="AB262" i="9"/>
  <c r="Z257" i="9"/>
  <c r="AE16" i="9"/>
  <c r="Z21" i="9"/>
  <c r="AI16" i="9"/>
  <c r="K18" i="9" s="1"/>
  <c r="AA257" i="9"/>
  <c r="AE262" i="9"/>
  <c r="Z16" i="9"/>
  <c r="Z267" i="9"/>
  <c r="AI262" i="9"/>
  <c r="K264" i="9" s="1"/>
  <c r="Z262" i="9"/>
  <c r="AB387" i="9"/>
  <c r="Z387" i="9"/>
  <c r="AD257" i="9"/>
  <c r="AE257" i="9" s="1"/>
  <c r="Z47" i="9"/>
  <c r="AD47" i="9"/>
  <c r="AE47" i="9" s="1"/>
  <c r="AB11" i="9"/>
  <c r="AI47" i="9"/>
  <c r="K48" i="9" s="1"/>
  <c r="Y424" i="23" l="1"/>
  <c r="V469" i="22"/>
  <c r="P24" i="28"/>
  <c r="V468" i="22"/>
  <c r="N24" i="28"/>
  <c r="P26" i="28"/>
  <c r="Y433" i="21"/>
  <c r="Y407" i="25"/>
  <c r="Y407" i="21"/>
  <c r="Y404" i="25"/>
  <c r="Y414" i="25"/>
  <c r="L26" i="28" s="1"/>
  <c r="Y404" i="21"/>
  <c r="Y414" i="21"/>
  <c r="AE253" i="22"/>
  <c r="Y414" i="22"/>
  <c r="Y407" i="22"/>
  <c r="Y404" i="22"/>
  <c r="AF107" i="24"/>
  <c r="AF16" i="24"/>
  <c r="AF117" i="24"/>
  <c r="Y407" i="24"/>
  <c r="Y404" i="24"/>
  <c r="AF112" i="24"/>
  <c r="Y405" i="23"/>
  <c r="AF106" i="23"/>
  <c r="AG264" i="23"/>
  <c r="AF96" i="23"/>
  <c r="AF66" i="23"/>
  <c r="Y408" i="23"/>
  <c r="Y504" i="9"/>
  <c r="Z504" i="9" s="1"/>
  <c r="AF263" i="24"/>
  <c r="AF111" i="23"/>
  <c r="AF65" i="22"/>
  <c r="AF11" i="21"/>
  <c r="AF105" i="25"/>
  <c r="AF21" i="24"/>
  <c r="AF95" i="22"/>
  <c r="AF115" i="21"/>
  <c r="AF16" i="25"/>
  <c r="AF55" i="22"/>
  <c r="AF12" i="23"/>
  <c r="AF55" i="21"/>
  <c r="AF253" i="22"/>
  <c r="AF56" i="23"/>
  <c r="AF110" i="25"/>
  <c r="AF102" i="24"/>
  <c r="AF17" i="23"/>
  <c r="AF21" i="22"/>
  <c r="AF240" i="25"/>
  <c r="AF100" i="21"/>
  <c r="AG21" i="21"/>
  <c r="AF70" i="25"/>
  <c r="AF95" i="21"/>
  <c r="AF71" i="23"/>
  <c r="AF100" i="22"/>
  <c r="AF70" i="21"/>
  <c r="AF11" i="22"/>
  <c r="AF100" i="25"/>
  <c r="AF101" i="23"/>
  <c r="AF260" i="21"/>
  <c r="AF115" i="22"/>
  <c r="AF122" i="24"/>
  <c r="R9" i="26"/>
  <c r="Y404" i="26" s="1"/>
  <c r="R212" i="25"/>
  <c r="Y427" i="25" s="1"/>
  <c r="R214" i="25"/>
  <c r="Y428" i="25" s="1"/>
  <c r="AF115" i="25"/>
  <c r="R301" i="25"/>
  <c r="Y429" i="25" s="1"/>
  <c r="AG240" i="25"/>
  <c r="AF60" i="25"/>
  <c r="AF55" i="25"/>
  <c r="AD115" i="25"/>
  <c r="AE115" i="25" s="1"/>
  <c r="AF11" i="25"/>
  <c r="Z115" i="25"/>
  <c r="AB95" i="25"/>
  <c r="AF65" i="25"/>
  <c r="AD95" i="25"/>
  <c r="AE95" i="25" s="1"/>
  <c r="AF95" i="25"/>
  <c r="AE65" i="25"/>
  <c r="AF21" i="25"/>
  <c r="AE70" i="25"/>
  <c r="R232" i="21"/>
  <c r="Y430" i="21" s="1"/>
  <c r="R234" i="21"/>
  <c r="Y431" i="21" s="1"/>
  <c r="AF110" i="21"/>
  <c r="R322" i="21"/>
  <c r="Y432" i="21" s="1"/>
  <c r="AB115" i="21"/>
  <c r="AD115" i="21"/>
  <c r="AE115" i="21" s="1"/>
  <c r="AB95" i="21"/>
  <c r="AF60" i="21"/>
  <c r="AD95" i="21"/>
  <c r="AE95" i="21" s="1"/>
  <c r="AF105" i="21"/>
  <c r="AF65" i="21"/>
  <c r="AG70" i="21"/>
  <c r="R70" i="21" s="1"/>
  <c r="AF16" i="21"/>
  <c r="R314" i="22"/>
  <c r="Y431" i="22" s="1"/>
  <c r="AF60" i="22"/>
  <c r="AG253" i="22"/>
  <c r="AF110" i="22"/>
  <c r="R225" i="22"/>
  <c r="Y429" i="22" s="1"/>
  <c r="R227" i="22"/>
  <c r="Y430" i="22" s="1"/>
  <c r="AF105" i="22"/>
  <c r="Z115" i="22"/>
  <c r="AB115" i="22"/>
  <c r="Z95" i="22"/>
  <c r="AB95" i="22"/>
  <c r="AE65" i="22"/>
  <c r="AF70" i="22"/>
  <c r="AG70" i="22"/>
  <c r="R70" i="22" s="1"/>
  <c r="AF16" i="22"/>
  <c r="AG11" i="22"/>
  <c r="R11" i="22" s="1"/>
  <c r="AE11" i="22"/>
  <c r="AG21" i="22"/>
  <c r="R325" i="23"/>
  <c r="Y433" i="23" s="1"/>
  <c r="R236" i="23"/>
  <c r="Y431" i="23" s="1"/>
  <c r="R238" i="23"/>
  <c r="Y432" i="23" s="1"/>
  <c r="AD96" i="23"/>
  <c r="AE96" i="23" s="1"/>
  <c r="Z96" i="23"/>
  <c r="AF116" i="23"/>
  <c r="Z116" i="23"/>
  <c r="AB116" i="23"/>
  <c r="AF61" i="23"/>
  <c r="AE66" i="23"/>
  <c r="AF22" i="23"/>
  <c r="AG71" i="23"/>
  <c r="R71" i="23" s="1"/>
  <c r="AG56" i="23"/>
  <c r="AE12" i="23"/>
  <c r="AG17" i="23"/>
  <c r="R17" i="23" s="1"/>
  <c r="R19" i="23" s="1"/>
  <c r="AE263" i="24"/>
  <c r="R324" i="24"/>
  <c r="R235" i="24"/>
  <c r="R237" i="24"/>
  <c r="Z122" i="24"/>
  <c r="AB102" i="24"/>
  <c r="AB122" i="24"/>
  <c r="AD102" i="24"/>
  <c r="AE102" i="24" s="1"/>
  <c r="AE82" i="24"/>
  <c r="AE77" i="24"/>
  <c r="AF11" i="24"/>
  <c r="AG11" i="24"/>
  <c r="R448" i="9"/>
  <c r="R361" i="9"/>
  <c r="Y511" i="9" s="1"/>
  <c r="Y510" i="9" s="1"/>
  <c r="AF387" i="9"/>
  <c r="AE387" i="9"/>
  <c r="V467" i="22" l="1"/>
  <c r="L24" i="28"/>
  <c r="Y426" i="25"/>
  <c r="R26" i="28" s="1"/>
  <c r="Y429" i="21"/>
  <c r="R25" i="28" s="1"/>
  <c r="L25" i="28"/>
  <c r="R240" i="25"/>
  <c r="R21" i="21"/>
  <c r="R23" i="21" s="1"/>
  <c r="R253" i="22"/>
  <c r="Y428" i="22"/>
  <c r="R21" i="22"/>
  <c r="R23" i="22" s="1"/>
  <c r="AF264" i="23"/>
  <c r="R264" i="23"/>
  <c r="Y430" i="23"/>
  <c r="N28" i="28" s="1"/>
  <c r="R56" i="23"/>
  <c r="Y500" i="9"/>
  <c r="AG70" i="25"/>
  <c r="R70" i="25" s="1"/>
  <c r="AF21" i="21"/>
  <c r="AG95" i="22"/>
  <c r="AG66" i="23"/>
  <c r="R66" i="23" s="1"/>
  <c r="AG115" i="22"/>
  <c r="R115" i="22" s="1"/>
  <c r="AG122" i="24"/>
  <c r="R122" i="24" s="1"/>
  <c r="R11" i="24"/>
  <c r="R13" i="24" s="1"/>
  <c r="AG260" i="21"/>
  <c r="R13" i="22"/>
  <c r="AG115" i="25"/>
  <c r="R115" i="25" s="1"/>
  <c r="AG60" i="25"/>
  <c r="R60" i="25" s="1"/>
  <c r="AG11" i="25"/>
  <c r="R11" i="25" s="1"/>
  <c r="AG55" i="25"/>
  <c r="AG65" i="25"/>
  <c r="R65" i="25" s="1"/>
  <c r="AG95" i="25"/>
  <c r="AG16" i="25"/>
  <c r="R16" i="25" s="1"/>
  <c r="R18" i="25" s="1"/>
  <c r="AG21" i="25"/>
  <c r="AG115" i="21"/>
  <c r="R115" i="21" s="1"/>
  <c r="AG55" i="21"/>
  <c r="AG60" i="21"/>
  <c r="R60" i="21" s="1"/>
  <c r="AG95" i="21"/>
  <c r="AG11" i="21"/>
  <c r="R11" i="21" s="1"/>
  <c r="AG65" i="21"/>
  <c r="R65" i="21" s="1"/>
  <c r="AG16" i="21"/>
  <c r="R16" i="21" s="1"/>
  <c r="R18" i="21" s="1"/>
  <c r="AG55" i="22"/>
  <c r="AG60" i="22"/>
  <c r="R60" i="22" s="1"/>
  <c r="AG65" i="22"/>
  <c r="R65" i="22" s="1"/>
  <c r="AG16" i="22"/>
  <c r="R16" i="22" s="1"/>
  <c r="R18" i="22" s="1"/>
  <c r="AG116" i="23"/>
  <c r="R116" i="23" s="1"/>
  <c r="AG61" i="23"/>
  <c r="R61" i="23" s="1"/>
  <c r="AG96" i="23"/>
  <c r="AG22" i="23"/>
  <c r="AG12" i="23"/>
  <c r="R12" i="23" s="1"/>
  <c r="AG263" i="24"/>
  <c r="AG16" i="24"/>
  <c r="R16" i="24" s="1"/>
  <c r="R18" i="24" s="1"/>
  <c r="AG102" i="24"/>
  <c r="AG21" i="24"/>
  <c r="AG387" i="9"/>
  <c r="V470" i="22" l="1"/>
  <c r="R24" i="28"/>
  <c r="R55" i="25"/>
  <c r="R21" i="25"/>
  <c r="R23" i="25" s="1"/>
  <c r="Y405" i="25"/>
  <c r="Y408" i="25"/>
  <c r="R95" i="25"/>
  <c r="R260" i="21"/>
  <c r="R95" i="21"/>
  <c r="R55" i="21"/>
  <c r="Y408" i="21"/>
  <c r="Y405" i="21"/>
  <c r="Y405" i="24"/>
  <c r="R95" i="22"/>
  <c r="R55" i="22"/>
  <c r="Y405" i="22"/>
  <c r="Y408" i="22"/>
  <c r="R21" i="24"/>
  <c r="R23" i="24" s="1"/>
  <c r="Y408" i="24"/>
  <c r="R263" i="24"/>
  <c r="R96" i="23"/>
  <c r="Y406" i="23"/>
  <c r="R22" i="23"/>
  <c r="R24" i="23" s="1"/>
  <c r="Y409" i="23"/>
  <c r="R387" i="9"/>
  <c r="R102" i="24"/>
  <c r="R13" i="25"/>
  <c r="R13" i="21"/>
  <c r="R14" i="23"/>
  <c r="Y406" i="25" l="1"/>
  <c r="Y403" i="25"/>
  <c r="Y403" i="21"/>
  <c r="Y406" i="21"/>
  <c r="Y406" i="22"/>
  <c r="Y403" i="22"/>
  <c r="Y403" i="24"/>
  <c r="Y406" i="24"/>
  <c r="Y407" i="23"/>
  <c r="Y404" i="23"/>
  <c r="Y402" i="24" l="1"/>
  <c r="Y402" i="25"/>
  <c r="Y402" i="21"/>
  <c r="Y402" i="22"/>
  <c r="Y403" i="23"/>
  <c r="AA62" i="9"/>
  <c r="AA57" i="9"/>
  <c r="AA11" i="9"/>
  <c r="P40" i="20"/>
  <c r="P39" i="20"/>
  <c r="P38" i="20"/>
  <c r="R41" i="20" s="1"/>
  <c r="R38" i="20"/>
  <c r="T123" i="9"/>
  <c r="H47" i="9"/>
  <c r="H52" i="9"/>
  <c r="H57" i="9"/>
  <c r="H62" i="9"/>
  <c r="H67" i="9"/>
  <c r="B108" i="9"/>
  <c r="B103" i="9"/>
  <c r="B98" i="9"/>
  <c r="B93" i="9"/>
  <c r="H87" i="9"/>
  <c r="H86" i="9"/>
  <c r="H85" i="9"/>
  <c r="H84" i="9"/>
  <c r="H83" i="9"/>
  <c r="T87" i="9"/>
  <c r="T86" i="9"/>
  <c r="G86" i="9"/>
  <c r="T85" i="9"/>
  <c r="G85" i="9"/>
  <c r="G84" i="9"/>
  <c r="T84" i="9" s="1"/>
  <c r="T83" i="9"/>
  <c r="T88" i="25"/>
  <c r="T87" i="25"/>
  <c r="G87" i="25"/>
  <c r="G110" i="25" s="1"/>
  <c r="X110" i="25" s="1"/>
  <c r="T86" i="25"/>
  <c r="G86" i="25"/>
  <c r="G105" i="25" s="1"/>
  <c r="X105" i="25" s="1"/>
  <c r="T85" i="25"/>
  <c r="G85" i="25"/>
  <c r="G100" i="25" s="1"/>
  <c r="X100" i="25" s="1"/>
  <c r="T84" i="25"/>
  <c r="T88" i="21"/>
  <c r="T87" i="21"/>
  <c r="G87" i="21"/>
  <c r="G110" i="21" s="1"/>
  <c r="X110" i="21" s="1"/>
  <c r="T86" i="21"/>
  <c r="G86" i="21"/>
  <c r="G105" i="21" s="1"/>
  <c r="X105" i="21" s="1"/>
  <c r="T85" i="21"/>
  <c r="G85" i="21"/>
  <c r="G100" i="21" s="1"/>
  <c r="X100" i="21" s="1"/>
  <c r="T84" i="21"/>
  <c r="T88" i="22"/>
  <c r="T87" i="22"/>
  <c r="G87" i="22"/>
  <c r="G110" i="22" s="1"/>
  <c r="X110" i="22" s="1"/>
  <c r="T86" i="22"/>
  <c r="G86" i="22"/>
  <c r="G105" i="22" s="1"/>
  <c r="X105" i="22" s="1"/>
  <c r="T85" i="22"/>
  <c r="G85" i="22"/>
  <c r="G100" i="22" s="1"/>
  <c r="X100" i="22" s="1"/>
  <c r="T84" i="22"/>
  <c r="T89" i="23"/>
  <c r="T88" i="23"/>
  <c r="G88" i="23"/>
  <c r="G111" i="23" s="1"/>
  <c r="X111" i="23" s="1"/>
  <c r="T87" i="23"/>
  <c r="V87" i="23" s="1"/>
  <c r="G87" i="23"/>
  <c r="G106" i="23" s="1"/>
  <c r="X106" i="23" s="1"/>
  <c r="T86" i="23"/>
  <c r="G86" i="23"/>
  <c r="G101" i="23" s="1"/>
  <c r="X101" i="23" s="1"/>
  <c r="T85" i="23"/>
  <c r="Y67" i="9"/>
  <c r="AC67" i="9" s="1"/>
  <c r="X67" i="9"/>
  <c r="AJ67" i="9"/>
  <c r="Y62" i="9"/>
  <c r="AC62" i="9" s="1"/>
  <c r="X62" i="9"/>
  <c r="AJ62" i="9"/>
  <c r="Y57" i="9"/>
  <c r="AC57" i="9" s="1"/>
  <c r="X57" i="9"/>
  <c r="AJ57" i="9"/>
  <c r="Y52" i="9"/>
  <c r="AC52" i="9" s="1"/>
  <c r="X52" i="9"/>
  <c r="AJ52" i="9"/>
  <c r="R32" i="9"/>
  <c r="Y475" i="9" s="1"/>
  <c r="G26" i="9"/>
  <c r="AC11" i="9"/>
  <c r="AJ11" i="9"/>
  <c r="K13" i="9" s="1"/>
  <c r="G123" i="17"/>
  <c r="I118" i="17"/>
  <c r="G118" i="17"/>
  <c r="G104" i="17"/>
  <c r="I99" i="17"/>
  <c r="G99" i="17"/>
  <c r="M146" i="23"/>
  <c r="M143" i="23"/>
  <c r="M140" i="23"/>
  <c r="M137" i="23"/>
  <c r="G85" i="17"/>
  <c r="I80" i="17"/>
  <c r="G80" i="17"/>
  <c r="I60" i="17"/>
  <c r="G60" i="17"/>
  <c r="Z100" i="25" l="1"/>
  <c r="AD100" i="25"/>
  <c r="AB100" i="25"/>
  <c r="Z105" i="25"/>
  <c r="AB105" i="25"/>
  <c r="AD105" i="25"/>
  <c r="Z110" i="25"/>
  <c r="AB110" i="25"/>
  <c r="AD110" i="25"/>
  <c r="V86" i="25"/>
  <c r="R86" i="25" s="1"/>
  <c r="V87" i="25"/>
  <c r="R87" i="25" s="1"/>
  <c r="V84" i="25"/>
  <c r="R84" i="25" s="1"/>
  <c r="V85" i="25"/>
  <c r="R85" i="25" s="1"/>
  <c r="Z110" i="21"/>
  <c r="AD110" i="21"/>
  <c r="AB110" i="21"/>
  <c r="Z100" i="21"/>
  <c r="AD100" i="21"/>
  <c r="AB100" i="21"/>
  <c r="Z105" i="21"/>
  <c r="AB105" i="21"/>
  <c r="AD105" i="21"/>
  <c r="V86" i="21"/>
  <c r="R86" i="21" s="1"/>
  <c r="V84" i="21"/>
  <c r="R84" i="21" s="1"/>
  <c r="V87" i="21"/>
  <c r="R87" i="21" s="1"/>
  <c r="V85" i="21"/>
  <c r="R85" i="21" s="1"/>
  <c r="Z105" i="22"/>
  <c r="AB105" i="22"/>
  <c r="AD105" i="22"/>
  <c r="AD110" i="22"/>
  <c r="AB110" i="22"/>
  <c r="Z110" i="22"/>
  <c r="Z100" i="22"/>
  <c r="AB100" i="22"/>
  <c r="AD100" i="22"/>
  <c r="V87" i="22"/>
  <c r="R87" i="22" s="1"/>
  <c r="V86" i="22"/>
  <c r="R86" i="22" s="1"/>
  <c r="V84" i="22"/>
  <c r="V85" i="22"/>
  <c r="R85" i="22" s="1"/>
  <c r="AD111" i="23"/>
  <c r="Z111" i="23"/>
  <c r="AB111" i="23"/>
  <c r="Z101" i="23"/>
  <c r="AD101" i="23"/>
  <c r="AB101" i="23"/>
  <c r="Z106" i="23"/>
  <c r="AD106" i="23"/>
  <c r="AB106" i="23"/>
  <c r="V86" i="23"/>
  <c r="R86" i="23" s="1"/>
  <c r="V85" i="23"/>
  <c r="V88" i="23"/>
  <c r="R88" i="23" s="1"/>
  <c r="R87" i="23"/>
  <c r="R40" i="20"/>
  <c r="AD11" i="9"/>
  <c r="AE11" i="9" s="1"/>
  <c r="AA16" i="9"/>
  <c r="AB16" i="9"/>
  <c r="AA21" i="9"/>
  <c r="AB21" i="9"/>
  <c r="AA47" i="9"/>
  <c r="AB47" i="9"/>
  <c r="Z11" i="9"/>
  <c r="R39" i="20"/>
  <c r="AD67" i="9"/>
  <c r="AE67" i="9" s="1"/>
  <c r="AD52" i="9"/>
  <c r="AE52" i="9" s="1"/>
  <c r="AD62" i="9"/>
  <c r="AE62" i="9" s="1"/>
  <c r="AD57" i="9"/>
  <c r="AE57" i="9" s="1"/>
  <c r="V83" i="9"/>
  <c r="AI52" i="9"/>
  <c r="K53" i="9" s="1"/>
  <c r="AI67" i="9"/>
  <c r="K68" i="9" s="1"/>
  <c r="Z52" i="9"/>
  <c r="V85" i="9"/>
  <c r="R85" i="9" s="1"/>
  <c r="AI57" i="9"/>
  <c r="K58" i="9" s="1"/>
  <c r="Z57" i="9"/>
  <c r="AI62" i="9"/>
  <c r="K63" i="9" s="1"/>
  <c r="AB62" i="9"/>
  <c r="V86" i="9"/>
  <c r="R86" i="9" s="1"/>
  <c r="V84" i="9"/>
  <c r="R84" i="9" s="1"/>
  <c r="Z62" i="9"/>
  <c r="AB52" i="9"/>
  <c r="AB57" i="9"/>
  <c r="Z67" i="9"/>
  <c r="AA52" i="9"/>
  <c r="Y468" i="9" l="1"/>
  <c r="Y471" i="9"/>
  <c r="Y420" i="21"/>
  <c r="Y420" i="22"/>
  <c r="Y422" i="23"/>
  <c r="Y420" i="25"/>
  <c r="AF62" i="9"/>
  <c r="R84" i="22"/>
  <c r="R85" i="23"/>
  <c r="AG11" i="9"/>
  <c r="R11" i="9" s="1"/>
  <c r="AE105" i="25"/>
  <c r="AG105" i="25"/>
  <c r="R105" i="25" s="1"/>
  <c r="AE110" i="25"/>
  <c r="AG110" i="25"/>
  <c r="R110" i="25" s="1"/>
  <c r="AE100" i="25"/>
  <c r="AG100" i="25"/>
  <c r="AE105" i="21"/>
  <c r="AG105" i="21"/>
  <c r="R105" i="21" s="1"/>
  <c r="AE100" i="21"/>
  <c r="AG100" i="21"/>
  <c r="AG110" i="21"/>
  <c r="R110" i="21" s="1"/>
  <c r="AE110" i="21"/>
  <c r="AE100" i="22"/>
  <c r="AG100" i="22"/>
  <c r="AE110" i="22"/>
  <c r="AG110" i="22"/>
  <c r="R110" i="22" s="1"/>
  <c r="AE105" i="22"/>
  <c r="AG105" i="22"/>
  <c r="R105" i="22" s="1"/>
  <c r="AE106" i="23"/>
  <c r="AG106" i="23"/>
  <c r="R106" i="23" s="1"/>
  <c r="AE101" i="23"/>
  <c r="AG101" i="23"/>
  <c r="AE111" i="23"/>
  <c r="AG111" i="23"/>
  <c r="R111" i="23" s="1"/>
  <c r="AF52" i="9"/>
  <c r="R83" i="9"/>
  <c r="AF57" i="9"/>
  <c r="AG57" i="9"/>
  <c r="R57" i="9" s="1"/>
  <c r="R100" i="25" l="1"/>
  <c r="Y421" i="25"/>
  <c r="R100" i="21"/>
  <c r="Y421" i="21"/>
  <c r="R100" i="22"/>
  <c r="Y421" i="22"/>
  <c r="R101" i="23"/>
  <c r="Y423" i="23"/>
  <c r="AF11" i="9"/>
  <c r="R13" i="9"/>
  <c r="AF21" i="9"/>
  <c r="AG21" i="9"/>
  <c r="AF16" i="9"/>
  <c r="AG16" i="9"/>
  <c r="R16" i="9" s="1"/>
  <c r="R18" i="9" s="1"/>
  <c r="AF47" i="9"/>
  <c r="AG47" i="9"/>
  <c r="AG52" i="9"/>
  <c r="R52" i="9" s="1"/>
  <c r="AG62" i="9"/>
  <c r="R62" i="9" s="1"/>
  <c r="I40" i="17"/>
  <c r="G40" i="17"/>
  <c r="Y469" i="9" l="1"/>
  <c r="Y419" i="25"/>
  <c r="Y419" i="22"/>
  <c r="Y419" i="21"/>
  <c r="Y421" i="23"/>
  <c r="R47" i="9"/>
  <c r="Y472" i="9"/>
  <c r="Y470" i="9" s="1"/>
  <c r="R21" i="9"/>
  <c r="R23" i="9" s="1"/>
  <c r="J22" i="20"/>
  <c r="J20" i="20"/>
  <c r="B329" i="9"/>
  <c r="B321" i="9"/>
  <c r="B313" i="9"/>
  <c r="B305" i="9"/>
  <c r="B297" i="9"/>
  <c r="R336" i="9"/>
  <c r="R335" i="9"/>
  <c r="R334" i="9"/>
  <c r="Y332" i="9"/>
  <c r="X332" i="9"/>
  <c r="R330" i="9"/>
  <c r="R328" i="9"/>
  <c r="R327" i="9"/>
  <c r="R326" i="9"/>
  <c r="Y324" i="9"/>
  <c r="X324" i="9"/>
  <c r="R322" i="9"/>
  <c r="R320" i="9"/>
  <c r="R319" i="9"/>
  <c r="R318" i="9"/>
  <c r="Y316" i="9"/>
  <c r="X316" i="9"/>
  <c r="R314" i="9"/>
  <c r="R312" i="9"/>
  <c r="R311" i="9"/>
  <c r="R310" i="9"/>
  <c r="Y308" i="9"/>
  <c r="X308" i="9"/>
  <c r="R306" i="9"/>
  <c r="R304" i="9"/>
  <c r="R303" i="9"/>
  <c r="R302" i="9"/>
  <c r="Y300" i="9"/>
  <c r="X300" i="9"/>
  <c r="R298" i="9"/>
  <c r="G272" i="9"/>
  <c r="T248" i="9"/>
  <c r="T246" i="9"/>
  <c r="R244" i="9"/>
  <c r="Y392" i="9"/>
  <c r="AC392" i="9" s="1"/>
  <c r="X392" i="9"/>
  <c r="AD392" i="9" s="1"/>
  <c r="AJ392" i="9"/>
  <c r="R384" i="9"/>
  <c r="T380" i="9"/>
  <c r="T376" i="9"/>
  <c r="T372" i="9"/>
  <c r="R369" i="9"/>
  <c r="R367" i="9"/>
  <c r="U154" i="9"/>
  <c r="T154" i="9"/>
  <c r="V154" i="9" s="1"/>
  <c r="U148" i="9"/>
  <c r="T148" i="9"/>
  <c r="V148" i="9" s="1"/>
  <c r="U130" i="9"/>
  <c r="T130" i="9"/>
  <c r="V130" i="9" s="1"/>
  <c r="U39" i="9"/>
  <c r="T39" i="9"/>
  <c r="Y114" i="9"/>
  <c r="AC114" i="9" s="1"/>
  <c r="AJ114" i="9"/>
  <c r="AA114" i="9"/>
  <c r="G114" i="9"/>
  <c r="D114" i="9"/>
  <c r="H114" i="9" s="1"/>
  <c r="B113" i="9"/>
  <c r="Y109" i="9"/>
  <c r="AC109" i="9" s="1"/>
  <c r="AJ109" i="9"/>
  <c r="AA109" i="9"/>
  <c r="D109" i="9"/>
  <c r="H109" i="9" s="1"/>
  <c r="C109" i="9"/>
  <c r="Y104" i="9"/>
  <c r="AC104" i="9" s="1"/>
  <c r="AJ104" i="9"/>
  <c r="AA104" i="9"/>
  <c r="D104" i="9"/>
  <c r="H104" i="9" s="1"/>
  <c r="C104" i="9"/>
  <c r="Y99" i="9"/>
  <c r="AC99" i="9" s="1"/>
  <c r="AJ99" i="9"/>
  <c r="AA99" i="9"/>
  <c r="D99" i="9"/>
  <c r="H99" i="9" s="1"/>
  <c r="C99" i="9"/>
  <c r="Y94" i="9"/>
  <c r="AC94" i="9" s="1"/>
  <c r="AJ94" i="9"/>
  <c r="AA94" i="9"/>
  <c r="G94" i="9"/>
  <c r="D94" i="9"/>
  <c r="H94" i="9" s="1"/>
  <c r="C94" i="9"/>
  <c r="G109" i="9"/>
  <c r="G104" i="9"/>
  <c r="G99" i="9"/>
  <c r="R81" i="9"/>
  <c r="T11" i="26"/>
  <c r="R7" i="26"/>
  <c r="R237" i="25"/>
  <c r="R222" i="25"/>
  <c r="R220" i="25"/>
  <c r="R82" i="25"/>
  <c r="R257" i="21"/>
  <c r="R242" i="21"/>
  <c r="R240" i="21"/>
  <c r="R82" i="21"/>
  <c r="R250" i="22"/>
  <c r="R233" i="22"/>
  <c r="R323" i="23"/>
  <c r="R246" i="23"/>
  <c r="R244" i="23"/>
  <c r="U49" i="23"/>
  <c r="T49" i="23"/>
  <c r="V49" i="23" s="1"/>
  <c r="U45" i="23"/>
  <c r="T45" i="23"/>
  <c r="V45" i="23" s="1"/>
  <c r="U41" i="23"/>
  <c r="T41" i="23"/>
  <c r="V41" i="23" s="1"/>
  <c r="I32" i="17"/>
  <c r="G32" i="17"/>
  <c r="V11" i="26" l="1"/>
  <c r="U11" i="26"/>
  <c r="Z11" i="26"/>
  <c r="Y11" i="26"/>
  <c r="X11" i="26"/>
  <c r="W11" i="26"/>
  <c r="Y467" i="9"/>
  <c r="Y466" i="9" s="1"/>
  <c r="Y507" i="9"/>
  <c r="X246" i="9"/>
  <c r="W246" i="9"/>
  <c r="U246" i="9"/>
  <c r="Z246" i="9"/>
  <c r="Y246" i="9"/>
  <c r="V246" i="9"/>
  <c r="Z248" i="9"/>
  <c r="Y248" i="9"/>
  <c r="X248" i="9"/>
  <c r="W248" i="9"/>
  <c r="V248" i="9"/>
  <c r="U248" i="9"/>
  <c r="V39" i="9"/>
  <c r="R39" i="9" s="1"/>
  <c r="Y478" i="9" s="1"/>
  <c r="AI109" i="9"/>
  <c r="K110" i="9" s="1"/>
  <c r="AI392" i="9"/>
  <c r="K393" i="9" s="1"/>
  <c r="R372" i="9"/>
  <c r="R376" i="9"/>
  <c r="X114" i="9"/>
  <c r="Z114" i="9" s="1"/>
  <c r="R380" i="9"/>
  <c r="Z392" i="9"/>
  <c r="R154" i="9"/>
  <c r="R148" i="9"/>
  <c r="Y491" i="9" s="1"/>
  <c r="X94" i="9"/>
  <c r="AD94" i="9" s="1"/>
  <c r="AE94" i="9" s="1"/>
  <c r="AI94" i="9"/>
  <c r="K95" i="9" s="1"/>
  <c r="R130" i="9"/>
  <c r="Y489" i="9" s="1"/>
  <c r="AI104" i="9"/>
  <c r="K105" i="9" s="1"/>
  <c r="AI114" i="9"/>
  <c r="K115" i="9" s="1"/>
  <c r="AI99" i="9"/>
  <c r="K100" i="9" s="1"/>
  <c r="X104" i="9"/>
  <c r="AB104" i="9" s="1"/>
  <c r="X109" i="9"/>
  <c r="AB109" i="9" s="1"/>
  <c r="X99" i="9"/>
  <c r="R41" i="23"/>
  <c r="R45" i="23"/>
  <c r="R49" i="23"/>
  <c r="Y513" i="9" l="1"/>
  <c r="Y415" i="23"/>
  <c r="AF104" i="9"/>
  <c r="AF109" i="9"/>
  <c r="AF94" i="9"/>
  <c r="AF99" i="9"/>
  <c r="AF257" i="9"/>
  <c r="AG257" i="9"/>
  <c r="AF114" i="9"/>
  <c r="R248" i="9"/>
  <c r="Y499" i="9" s="1"/>
  <c r="AB114" i="9"/>
  <c r="AD114" i="9"/>
  <c r="AE114" i="9" s="1"/>
  <c r="R246" i="9"/>
  <c r="Y498" i="9" s="1"/>
  <c r="Z109" i="9"/>
  <c r="AE392" i="9"/>
  <c r="AB94" i="9"/>
  <c r="Z94" i="9"/>
  <c r="AD109" i="9"/>
  <c r="AE109" i="9" s="1"/>
  <c r="Z104" i="9"/>
  <c r="AD104" i="9"/>
  <c r="AE104" i="9" s="1"/>
  <c r="Z99" i="9"/>
  <c r="AD99" i="9"/>
  <c r="AB99" i="9"/>
  <c r="R11" i="26"/>
  <c r="Y405" i="26" s="1"/>
  <c r="Y497" i="9" l="1"/>
  <c r="Y486" i="9"/>
  <c r="Y403" i="26"/>
  <c r="R27" i="28"/>
  <c r="R21" i="28"/>
  <c r="R257" i="9"/>
  <c r="R259" i="9" s="1"/>
  <c r="AF267" i="9"/>
  <c r="AG267" i="9"/>
  <c r="R267" i="9" s="1"/>
  <c r="AF262" i="9"/>
  <c r="AG262" i="9"/>
  <c r="R262" i="9" s="1"/>
  <c r="R264" i="9" s="1"/>
  <c r="AG114" i="9"/>
  <c r="R114" i="9" s="1"/>
  <c r="AG94" i="9"/>
  <c r="AG109" i="9"/>
  <c r="AG104" i="9"/>
  <c r="R104" i="9" s="1"/>
  <c r="AE99" i="9"/>
  <c r="AG99" i="9"/>
  <c r="R99" i="9" s="1"/>
  <c r="R269" i="9" l="1"/>
  <c r="R28" i="28"/>
  <c r="U472" i="26"/>
  <c r="Y407" i="26"/>
  <c r="Z403" i="26" s="1"/>
  <c r="Y505" i="9"/>
  <c r="R109" i="9"/>
  <c r="R94" i="9"/>
  <c r="Y487" i="9"/>
  <c r="Y485" i="9" s="1"/>
  <c r="Z505" i="9" l="1"/>
  <c r="Y503" i="9"/>
  <c r="M27" i="28"/>
  <c r="I27" i="28"/>
  <c r="O27" i="28"/>
  <c r="Q27" i="28"/>
  <c r="S27" i="28"/>
  <c r="Z404" i="26"/>
  <c r="Z405" i="26"/>
  <c r="V472" i="26"/>
  <c r="V470" i="26"/>
  <c r="V469" i="26"/>
  <c r="V468" i="26"/>
  <c r="V467" i="26"/>
  <c r="V466" i="26"/>
  <c r="V471" i="26"/>
  <c r="U55" i="24"/>
  <c r="T55" i="24"/>
  <c r="V55" i="24" s="1"/>
  <c r="U51" i="24"/>
  <c r="T51" i="24"/>
  <c r="V51" i="24" s="1"/>
  <c r="U47" i="24"/>
  <c r="T47" i="24"/>
  <c r="V47" i="24" s="1"/>
  <c r="T95" i="24"/>
  <c r="T94" i="24"/>
  <c r="G94" i="24"/>
  <c r="G117" i="24" s="1"/>
  <c r="X117" i="24" s="1"/>
  <c r="T93" i="24"/>
  <c r="G93" i="24"/>
  <c r="G112" i="24" s="1"/>
  <c r="X112" i="24" s="1"/>
  <c r="T92" i="24"/>
  <c r="G92" i="24"/>
  <c r="G107" i="24" s="1"/>
  <c r="X107" i="24" s="1"/>
  <c r="T91" i="24"/>
  <c r="U340" i="9"/>
  <c r="T340" i="9"/>
  <c r="V340" i="9" s="1"/>
  <c r="H108" i="16"/>
  <c r="H106" i="16"/>
  <c r="Z407" i="26" l="1"/>
  <c r="AD117" i="24"/>
  <c r="AB117" i="24"/>
  <c r="Z117" i="24"/>
  <c r="Z107" i="24"/>
  <c r="AB107" i="24"/>
  <c r="AD107" i="24"/>
  <c r="Z112" i="24"/>
  <c r="AD112" i="24"/>
  <c r="AB112" i="24"/>
  <c r="AF72" i="24"/>
  <c r="AG72" i="24"/>
  <c r="R72" i="24" s="1"/>
  <c r="AF77" i="24"/>
  <c r="AG77" i="24"/>
  <c r="R77" i="24" s="1"/>
  <c r="AF67" i="24"/>
  <c r="AG67" i="24"/>
  <c r="R67" i="24" s="1"/>
  <c r="AF62" i="24"/>
  <c r="AG62" i="24"/>
  <c r="V93" i="24"/>
  <c r="R93" i="24" s="1"/>
  <c r="R51" i="24"/>
  <c r="V94" i="24"/>
  <c r="R94" i="24" s="1"/>
  <c r="V91" i="24"/>
  <c r="R91" i="24" s="1"/>
  <c r="R55" i="24"/>
  <c r="R47" i="24"/>
  <c r="Y415" i="24" s="1"/>
  <c r="V92" i="24"/>
  <c r="R92" i="24" s="1"/>
  <c r="R340" i="9"/>
  <c r="H107" i="16"/>
  <c r="H105" i="16"/>
  <c r="E105" i="16"/>
  <c r="C105" i="16"/>
  <c r="T350" i="9"/>
  <c r="V350" i="9" s="1"/>
  <c r="U345" i="9"/>
  <c r="T345" i="9"/>
  <c r="V345" i="9" s="1"/>
  <c r="U350" i="9"/>
  <c r="E102" i="16"/>
  <c r="E101" i="16"/>
  <c r="H28" i="20"/>
  <c r="U123" i="9"/>
  <c r="V123" i="9" s="1"/>
  <c r="R123" i="9" s="1"/>
  <c r="H21" i="28" l="1"/>
  <c r="Y488" i="9"/>
  <c r="Y421" i="24"/>
  <c r="R62" i="24"/>
  <c r="AE112" i="24"/>
  <c r="AG112" i="24"/>
  <c r="R112" i="24" s="1"/>
  <c r="AE107" i="24"/>
  <c r="AG107" i="24"/>
  <c r="AG117" i="24"/>
  <c r="R117" i="24" s="1"/>
  <c r="AE117" i="24"/>
  <c r="R418" i="9"/>
  <c r="R439" i="9"/>
  <c r="Y520" i="9" s="1"/>
  <c r="R421" i="9"/>
  <c r="R76" i="9"/>
  <c r="Y482" i="9" s="1"/>
  <c r="R442" i="9"/>
  <c r="Y521" i="9" s="1"/>
  <c r="R79" i="9"/>
  <c r="Y483" i="9" s="1"/>
  <c r="R245" i="24"/>
  <c r="R89" i="24"/>
  <c r="R345" i="9"/>
  <c r="R350" i="9"/>
  <c r="U536" i="9" l="1"/>
  <c r="Y530" i="9"/>
  <c r="V21" i="28" s="1"/>
  <c r="V28" i="28" s="1"/>
  <c r="Y518" i="9"/>
  <c r="P21" i="28"/>
  <c r="Y422" i="24"/>
  <c r="Y420" i="24" s="1"/>
  <c r="Y508" i="9"/>
  <c r="Y502" i="9" s="1"/>
  <c r="R107" i="24"/>
  <c r="Y525" i="9" l="1"/>
  <c r="R260" i="24"/>
  <c r="V161" i="9"/>
  <c r="R161" i="9" s="1"/>
  <c r="Y492" i="9" s="1"/>
  <c r="U142" i="9"/>
  <c r="T142" i="9"/>
  <c r="X137" i="9"/>
  <c r="Y137" i="9"/>
  <c r="AC137" i="9" s="1"/>
  <c r="AJ137" i="9"/>
  <c r="H6" i="20"/>
  <c r="H7" i="20"/>
  <c r="R5" i="20"/>
  <c r="H5" i="20" s="1"/>
  <c r="R31" i="9" s="1"/>
  <c r="Y474" i="9" s="1"/>
  <c r="R34" i="9" l="1"/>
  <c r="Y476" i="9" s="1"/>
  <c r="Y473" i="9" s="1"/>
  <c r="V142" i="9"/>
  <c r="R138" i="9" s="1"/>
  <c r="AD137" i="9"/>
  <c r="AG137" i="9" s="1"/>
  <c r="Z137" i="9"/>
  <c r="AI137" i="9"/>
  <c r="AE137" i="9" l="1"/>
  <c r="AF137" i="9" s="1"/>
  <c r="H4" i="20" l="1"/>
  <c r="I23" i="17"/>
  <c r="G97" i="16"/>
  <c r="G96" i="16"/>
  <c r="G19" i="17"/>
  <c r="V88" i="21" l="1"/>
  <c r="R88" i="21" s="1"/>
  <c r="Y418" i="21" s="1"/>
  <c r="H25" i="28" s="1"/>
  <c r="V89" i="23"/>
  <c r="G125" i="23" s="1"/>
  <c r="V87" i="9"/>
  <c r="V88" i="25"/>
  <c r="R88" i="25" s="1"/>
  <c r="Y418" i="25" s="1"/>
  <c r="V88" i="22"/>
  <c r="G124" i="22" s="1"/>
  <c r="R30" i="9"/>
  <c r="V95" i="24"/>
  <c r="R95" i="24" s="1"/>
  <c r="AB138" i="9"/>
  <c r="D106" i="19"/>
  <c r="D105" i="19"/>
  <c r="D104" i="19"/>
  <c r="D103" i="19"/>
  <c r="D102" i="19"/>
  <c r="D101" i="19"/>
  <c r="D100" i="19"/>
  <c r="D99" i="19"/>
  <c r="D98" i="19"/>
  <c r="D97" i="19"/>
  <c r="D96" i="19"/>
  <c r="D95" i="19"/>
  <c r="D94" i="19"/>
  <c r="D93" i="19"/>
  <c r="Y477" i="9" l="1"/>
  <c r="U537" i="9" s="1"/>
  <c r="R88" i="22"/>
  <c r="Y418" i="22" s="1"/>
  <c r="H24" i="28" s="1"/>
  <c r="H28" i="28" s="1"/>
  <c r="R89" i="23"/>
  <c r="Y419" i="23" s="1"/>
  <c r="AA397" i="9"/>
  <c r="AB397" i="9"/>
  <c r="AA268" i="22"/>
  <c r="AB268" i="22"/>
  <c r="AA275" i="21"/>
  <c r="AB275" i="21"/>
  <c r="AA407" i="9"/>
  <c r="AB407" i="9"/>
  <c r="AB274" i="23"/>
  <c r="AA258" i="22"/>
  <c r="AB258" i="22"/>
  <c r="AA278" i="24"/>
  <c r="AB278" i="24"/>
  <c r="AA402" i="9"/>
  <c r="AB402" i="9"/>
  <c r="AA265" i="21"/>
  <c r="AB265" i="21"/>
  <c r="AA76" i="23"/>
  <c r="AB76" i="23"/>
  <c r="Y417" i="23" s="1"/>
  <c r="AA283" i="24"/>
  <c r="AB283" i="24"/>
  <c r="AA392" i="9"/>
  <c r="AB392" i="9"/>
  <c r="AA260" i="25"/>
  <c r="AB260" i="25"/>
  <c r="AB273" i="22"/>
  <c r="AA273" i="22"/>
  <c r="AA268" i="24"/>
  <c r="AB268" i="24"/>
  <c r="AA284" i="23"/>
  <c r="AB284" i="23"/>
  <c r="AA280" i="21"/>
  <c r="AB280" i="21"/>
  <c r="AA263" i="22"/>
  <c r="AB263" i="22"/>
  <c r="AA75" i="25"/>
  <c r="AB75" i="25"/>
  <c r="Y416" i="25" s="1"/>
  <c r="AA245" i="25"/>
  <c r="AB245" i="25"/>
  <c r="AA250" i="25"/>
  <c r="AB250" i="25"/>
  <c r="AA75" i="21"/>
  <c r="AB75" i="21"/>
  <c r="Y416" i="21" s="1"/>
  <c r="AA255" i="25"/>
  <c r="AB255" i="25"/>
  <c r="AA67" i="9"/>
  <c r="AB67" i="9"/>
  <c r="Y480" i="9" s="1"/>
  <c r="AA270" i="21"/>
  <c r="AB270" i="21"/>
  <c r="AB279" i="23"/>
  <c r="AB269" i="23"/>
  <c r="AA273" i="24"/>
  <c r="AB273" i="24"/>
  <c r="AA82" i="24"/>
  <c r="AB82" i="24"/>
  <c r="Y417" i="24" s="1"/>
  <c r="AB75" i="22"/>
  <c r="Y416" i="22" s="1"/>
  <c r="AA75" i="22"/>
  <c r="R87" i="9"/>
  <c r="G123" i="9"/>
  <c r="AD138" i="9"/>
  <c r="AG138" i="9" s="1"/>
  <c r="Y484" i="9" l="1"/>
  <c r="U532" i="9" s="1"/>
  <c r="Y527" i="9"/>
  <c r="U21" i="28" s="1"/>
  <c r="Y431" i="24"/>
  <c r="Y435" i="21"/>
  <c r="Y436" i="23"/>
  <c r="Y434" i="22"/>
  <c r="Y432" i="25"/>
  <c r="Y515" i="9"/>
  <c r="D92" i="19"/>
  <c r="D91" i="19"/>
  <c r="D90" i="19"/>
  <c r="D89" i="19"/>
  <c r="D88" i="19"/>
  <c r="D87" i="19"/>
  <c r="D86" i="19"/>
  <c r="D85" i="19"/>
  <c r="D84" i="19"/>
  <c r="D83" i="19"/>
  <c r="D82" i="19"/>
  <c r="D81" i="19"/>
  <c r="D80" i="19"/>
  <c r="D79" i="19"/>
  <c r="D78" i="19"/>
  <c r="D77" i="19"/>
  <c r="D76" i="19"/>
  <c r="D75" i="19"/>
  <c r="D74" i="19"/>
  <c r="D73" i="19"/>
  <c r="D72" i="19"/>
  <c r="D71" i="19"/>
  <c r="D70" i="19"/>
  <c r="D69" i="19"/>
  <c r="G60" i="16"/>
  <c r="G61" i="16"/>
  <c r="G62" i="16"/>
  <c r="G63" i="16"/>
  <c r="G64" i="16"/>
  <c r="G65" i="16"/>
  <c r="G66" i="16"/>
  <c r="G67" i="16"/>
  <c r="G68" i="16"/>
  <c r="G69" i="16"/>
  <c r="G70" i="16"/>
  <c r="G71" i="16"/>
  <c r="G72" i="16"/>
  <c r="N38" i="20" s="1"/>
  <c r="G73" i="16"/>
  <c r="G74" i="16"/>
  <c r="G105" i="16" s="1"/>
  <c r="G75" i="16"/>
  <c r="G76" i="16"/>
  <c r="G77" i="16"/>
  <c r="G78" i="16"/>
  <c r="G79" i="16"/>
  <c r="G80" i="16"/>
  <c r="G81" i="16"/>
  <c r="G82" i="16"/>
  <c r="G83" i="16"/>
  <c r="G85" i="16"/>
  <c r="G86" i="16"/>
  <c r="G87" i="16"/>
  <c r="G88" i="16"/>
  <c r="G89" i="16"/>
  <c r="G90" i="16"/>
  <c r="G91" i="16"/>
  <c r="G92" i="16"/>
  <c r="G93" i="16"/>
  <c r="G94" i="16"/>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E59" i="16"/>
  <c r="G59" i="16" s="1"/>
  <c r="E58" i="16"/>
  <c r="G58" i="16" s="1"/>
  <c r="E57" i="16"/>
  <c r="G57" i="16" s="1"/>
  <c r="E56" i="16"/>
  <c r="G56" i="16" s="1"/>
  <c r="E55" i="16"/>
  <c r="G55" i="16" s="1"/>
  <c r="E54" i="16"/>
  <c r="G54" i="16" s="1"/>
  <c r="E53" i="16"/>
  <c r="G53" i="16" s="1"/>
  <c r="E52" i="16"/>
  <c r="G52" i="16" s="1"/>
  <c r="E51" i="16"/>
  <c r="G51" i="16" s="1"/>
  <c r="E50" i="16"/>
  <c r="G50" i="16" s="1"/>
  <c r="E49" i="16"/>
  <c r="G49" i="16" s="1"/>
  <c r="E48" i="16"/>
  <c r="G48" i="16" s="1"/>
  <c r="E47" i="16"/>
  <c r="G47" i="16" s="1"/>
  <c r="E46" i="16"/>
  <c r="G46" i="16" s="1"/>
  <c r="E45" i="16"/>
  <c r="G45" i="16" s="1"/>
  <c r="E44" i="16"/>
  <c r="G44" i="16" s="1"/>
  <c r="Z187" i="22" l="1"/>
  <c r="R186" i="22"/>
  <c r="Z308" i="9"/>
  <c r="R307" i="9"/>
  <c r="Z324" i="9"/>
  <c r="R323" i="9"/>
  <c r="AF273" i="24"/>
  <c r="AG273" i="24"/>
  <c r="R273" i="24" s="1"/>
  <c r="AF75" i="25"/>
  <c r="AG75" i="25"/>
  <c r="Z148" i="25"/>
  <c r="R147" i="25"/>
  <c r="R146" i="25" s="1"/>
  <c r="Z163" i="24"/>
  <c r="R162" i="24"/>
  <c r="AF280" i="21"/>
  <c r="AG280" i="21"/>
  <c r="R280" i="21" s="1"/>
  <c r="AF279" i="23"/>
  <c r="AG279" i="23"/>
  <c r="R279" i="23" s="1"/>
  <c r="Z164" i="25"/>
  <c r="R163" i="25"/>
  <c r="R178" i="24"/>
  <c r="Z179" i="24"/>
  <c r="AF265" i="21"/>
  <c r="AG265" i="21"/>
  <c r="AF269" i="23"/>
  <c r="AG269" i="23"/>
  <c r="Z180" i="25"/>
  <c r="R179" i="25"/>
  <c r="Z332" i="9"/>
  <c r="R331" i="9"/>
  <c r="AF245" i="25"/>
  <c r="AG245" i="25"/>
  <c r="AF263" i="22"/>
  <c r="AG263" i="22"/>
  <c r="Z163" i="22"/>
  <c r="R162" i="22"/>
  <c r="Z148" i="21"/>
  <c r="R147" i="21"/>
  <c r="R146" i="21" s="1"/>
  <c r="Y423" i="21" s="1"/>
  <c r="Z172" i="23"/>
  <c r="R171" i="23"/>
  <c r="AF278" i="24"/>
  <c r="AG278" i="24"/>
  <c r="R278" i="24" s="1"/>
  <c r="AF260" i="25"/>
  <c r="AG260" i="25"/>
  <c r="R260" i="25" s="1"/>
  <c r="R154" i="24"/>
  <c r="Z155" i="24"/>
  <c r="Z300" i="9"/>
  <c r="R299" i="9"/>
  <c r="Z164" i="21"/>
  <c r="R163" i="21"/>
  <c r="Z316" i="9"/>
  <c r="R315" i="9"/>
  <c r="AF250" i="25"/>
  <c r="AG250" i="25"/>
  <c r="R250" i="25" s="1"/>
  <c r="AG255" i="25"/>
  <c r="R255" i="25" s="1"/>
  <c r="AF255" i="25"/>
  <c r="Z180" i="21"/>
  <c r="R179" i="21"/>
  <c r="AG82" i="24"/>
  <c r="Y418" i="24" s="1"/>
  <c r="Y416" i="24" s="1"/>
  <c r="AF82" i="24"/>
  <c r="AG268" i="22"/>
  <c r="R268" i="22" s="1"/>
  <c r="AF268" i="22"/>
  <c r="AF76" i="23"/>
  <c r="AG76" i="23"/>
  <c r="Z187" i="24"/>
  <c r="R186" i="24"/>
  <c r="AF407" i="9"/>
  <c r="AG407" i="9"/>
  <c r="R407" i="9" s="1"/>
  <c r="AF268" i="24"/>
  <c r="AG268" i="24"/>
  <c r="AF275" i="21"/>
  <c r="AG275" i="21"/>
  <c r="R275" i="21" s="1"/>
  <c r="Z171" i="24"/>
  <c r="R170" i="24"/>
  <c r="Z156" i="23"/>
  <c r="R155" i="23"/>
  <c r="Z164" i="23"/>
  <c r="R163" i="23"/>
  <c r="AF397" i="9"/>
  <c r="AG397" i="9"/>
  <c r="R397" i="9" s="1"/>
  <c r="AF274" i="23"/>
  <c r="AG274" i="23"/>
  <c r="R274" i="23" s="1"/>
  <c r="AG270" i="21"/>
  <c r="R270" i="21" s="1"/>
  <c r="AF270" i="21"/>
  <c r="Z180" i="23"/>
  <c r="R179" i="23"/>
  <c r="AF392" i="9"/>
  <c r="AG392" i="9"/>
  <c r="AF258" i="22"/>
  <c r="AG258" i="22"/>
  <c r="AF283" i="24"/>
  <c r="AG283" i="24"/>
  <c r="R283" i="24" s="1"/>
  <c r="Z156" i="25"/>
  <c r="R155" i="25"/>
  <c r="R154" i="25" s="1"/>
  <c r="AF402" i="9"/>
  <c r="AG402" i="9"/>
  <c r="R402" i="9" s="1"/>
  <c r="AF75" i="22"/>
  <c r="AG75" i="22"/>
  <c r="AF273" i="22"/>
  <c r="AG273" i="22"/>
  <c r="R273" i="22" s="1"/>
  <c r="Z172" i="25"/>
  <c r="R171" i="25"/>
  <c r="R178" i="22"/>
  <c r="Z179" i="22"/>
  <c r="Z156" i="21"/>
  <c r="R155" i="21"/>
  <c r="Z172" i="21"/>
  <c r="R171" i="21"/>
  <c r="R154" i="22"/>
  <c r="Z155" i="22"/>
  <c r="Z171" i="22"/>
  <c r="R170" i="22"/>
  <c r="Z188" i="23"/>
  <c r="R187" i="23"/>
  <c r="AF67" i="9"/>
  <c r="AG67" i="9"/>
  <c r="Y481" i="9" s="1"/>
  <c r="AF75" i="21"/>
  <c r="AG75" i="21"/>
  <c r="AF284" i="23"/>
  <c r="AG284" i="23"/>
  <c r="R284" i="23" s="1"/>
  <c r="AA137" i="9"/>
  <c r="AB137" i="9"/>
  <c r="R137" i="9" s="1"/>
  <c r="L28" i="28" l="1"/>
  <c r="Y490" i="9"/>
  <c r="U534" i="9" s="1"/>
  <c r="Y423" i="25"/>
  <c r="R245" i="25"/>
  <c r="Y433" i="25"/>
  <c r="R75" i="25"/>
  <c r="Y417" i="25"/>
  <c r="U466" i="25" s="1"/>
  <c r="R265" i="21"/>
  <c r="Y436" i="21"/>
  <c r="R75" i="21"/>
  <c r="Y417" i="21"/>
  <c r="U466" i="21" s="1"/>
  <c r="R258" i="22"/>
  <c r="Y435" i="22"/>
  <c r="R75" i="22"/>
  <c r="Y417" i="22"/>
  <c r="R263" i="22"/>
  <c r="Y432" i="24"/>
  <c r="Y430" i="24" s="1"/>
  <c r="R268" i="24"/>
  <c r="R269" i="23"/>
  <c r="Y437" i="23"/>
  <c r="R76" i="23"/>
  <c r="Y418" i="23"/>
  <c r="R392" i="9"/>
  <c r="Y516" i="9"/>
  <c r="Y514" i="9" s="1"/>
  <c r="R67" i="9"/>
  <c r="Y479" i="9"/>
  <c r="R82" i="24"/>
  <c r="U467" i="23" l="1"/>
  <c r="U472" i="23" s="1"/>
  <c r="G2" i="23" s="1"/>
  <c r="U466" i="22"/>
  <c r="U471" i="22" s="1"/>
  <c r="Y431" i="25"/>
  <c r="Y415" i="25"/>
  <c r="Y415" i="22"/>
  <c r="Y434" i="21"/>
  <c r="Y415" i="21"/>
  <c r="Y433" i="22"/>
  <c r="U466" i="24"/>
  <c r="U471" i="24" s="1"/>
  <c r="Y416" i="23"/>
  <c r="Y435" i="23"/>
  <c r="Y524" i="9"/>
  <c r="U533" i="9"/>
  <c r="Z495" i="9" l="1"/>
  <c r="Z496" i="9"/>
  <c r="Y444" i="23"/>
  <c r="Z430" i="23" s="1"/>
  <c r="Y440" i="25"/>
  <c r="J25" i="28"/>
  <c r="Y443" i="21"/>
  <c r="Z415" i="21" s="1"/>
  <c r="Y442" i="22"/>
  <c r="Y439" i="24"/>
  <c r="J26" i="28" l="1"/>
  <c r="U471" i="25"/>
  <c r="V466" i="22"/>
  <c r="J24" i="28"/>
  <c r="K27" i="28"/>
  <c r="J21" i="28"/>
  <c r="U538" i="9"/>
  <c r="Z402" i="25"/>
  <c r="Z438" i="25"/>
  <c r="Z426" i="25"/>
  <c r="Z414" i="25"/>
  <c r="Z437" i="25"/>
  <c r="Z425" i="25"/>
  <c r="Z413" i="25"/>
  <c r="Z436" i="25"/>
  <c r="Z424" i="25"/>
  <c r="Z412" i="25"/>
  <c r="Z435" i="25"/>
  <c r="Z423" i="25"/>
  <c r="Z411" i="25"/>
  <c r="Z434" i="25"/>
  <c r="Z422" i="25"/>
  <c r="Z410" i="25"/>
  <c r="Z409" i="25"/>
  <c r="Z432" i="25"/>
  <c r="Z420" i="25"/>
  <c r="Z428" i="25"/>
  <c r="Z407" i="25"/>
  <c r="Z429" i="25"/>
  <c r="Z404" i="25"/>
  <c r="Z430" i="25"/>
  <c r="Z418" i="25"/>
  <c r="Z416" i="25"/>
  <c r="Z427" i="25"/>
  <c r="Z408" i="25"/>
  <c r="Z405" i="25"/>
  <c r="Z403" i="25"/>
  <c r="Z406" i="25"/>
  <c r="Z421" i="25"/>
  <c r="Z419" i="25"/>
  <c r="Z417" i="25"/>
  <c r="Z433" i="25"/>
  <c r="Z431" i="25"/>
  <c r="Z415" i="25"/>
  <c r="Z417" i="24"/>
  <c r="Z437" i="24"/>
  <c r="Z425" i="24"/>
  <c r="Z412" i="24"/>
  <c r="Z436" i="24"/>
  <c r="Z424" i="24"/>
  <c r="Z411" i="24"/>
  <c r="Z435" i="24"/>
  <c r="Z423" i="24"/>
  <c r="Z410" i="24"/>
  <c r="Z434" i="24"/>
  <c r="Z409" i="24"/>
  <c r="Z433" i="24"/>
  <c r="Z421" i="24"/>
  <c r="Z407" i="24"/>
  <c r="Z431" i="24"/>
  <c r="Z419" i="24"/>
  <c r="Z429" i="24"/>
  <c r="Z404" i="24"/>
  <c r="Z427" i="24"/>
  <c r="Z426" i="24"/>
  <c r="Z428" i="24"/>
  <c r="Z415" i="24"/>
  <c r="Z414" i="24"/>
  <c r="Z413" i="24"/>
  <c r="Z408" i="24"/>
  <c r="Z405" i="24"/>
  <c r="Z403" i="24"/>
  <c r="Z406" i="24"/>
  <c r="Z402" i="24"/>
  <c r="Z422" i="24"/>
  <c r="Z420" i="24"/>
  <c r="Z418" i="24"/>
  <c r="Z432" i="24"/>
  <c r="Z416" i="24"/>
  <c r="Z430" i="24"/>
  <c r="Z440" i="22"/>
  <c r="Z428" i="22"/>
  <c r="Z416" i="22"/>
  <c r="Z404" i="22"/>
  <c r="Z439" i="22"/>
  <c r="Z427" i="22"/>
  <c r="Z438" i="22"/>
  <c r="Z426" i="22"/>
  <c r="Z414" i="22"/>
  <c r="Z437" i="22"/>
  <c r="Z425" i="22"/>
  <c r="Z413" i="22"/>
  <c r="Z436" i="22"/>
  <c r="Z424" i="22"/>
  <c r="Z412" i="22"/>
  <c r="Z423" i="22"/>
  <c r="Z411" i="22"/>
  <c r="Z434" i="22"/>
  <c r="Z422" i="22"/>
  <c r="Z410" i="22"/>
  <c r="Z409" i="22"/>
  <c r="Z432" i="22"/>
  <c r="Z420" i="22"/>
  <c r="Z431" i="22"/>
  <c r="Z407" i="22"/>
  <c r="Z430" i="22"/>
  <c r="Z418" i="22"/>
  <c r="Z429" i="22"/>
  <c r="Z408" i="22"/>
  <c r="Z405" i="22"/>
  <c r="Z403" i="22"/>
  <c r="Z406" i="22"/>
  <c r="Z421" i="22"/>
  <c r="Z419" i="22"/>
  <c r="Z417" i="22"/>
  <c r="Z435" i="22"/>
  <c r="Z415" i="22"/>
  <c r="Z433" i="22"/>
  <c r="Z402" i="22"/>
  <c r="Z434" i="21"/>
  <c r="Z402" i="21"/>
  <c r="Z441" i="21"/>
  <c r="Z429" i="21"/>
  <c r="Z440" i="21"/>
  <c r="Z428" i="21"/>
  <c r="Z416" i="21"/>
  <c r="Z404" i="21"/>
  <c r="Z439" i="21"/>
  <c r="Z427" i="21"/>
  <c r="Z438" i="21"/>
  <c r="Z426" i="21"/>
  <c r="Z414" i="21"/>
  <c r="Z437" i="21"/>
  <c r="Z425" i="21"/>
  <c r="Z413" i="21"/>
  <c r="Z424" i="21"/>
  <c r="Z412" i="21"/>
  <c r="Z435" i="21"/>
  <c r="Z423" i="21"/>
  <c r="Z411" i="21"/>
  <c r="Z422" i="21"/>
  <c r="Z410" i="21"/>
  <c r="Z407" i="21"/>
  <c r="Z433" i="21"/>
  <c r="Z409" i="21"/>
  <c r="Z431" i="21"/>
  <c r="Z430" i="21"/>
  <c r="Z432" i="21"/>
  <c r="Z420" i="21"/>
  <c r="Z418" i="21"/>
  <c r="Z405" i="21"/>
  <c r="Z408" i="21"/>
  <c r="Z406" i="21"/>
  <c r="Z403" i="21"/>
  <c r="Z421" i="21"/>
  <c r="Z419" i="21"/>
  <c r="Z417" i="21"/>
  <c r="Z436" i="21"/>
  <c r="U471" i="21"/>
  <c r="F24" i="28"/>
  <c r="Z421" i="23"/>
  <c r="Z411" i="23"/>
  <c r="Z410" i="23"/>
  <c r="Z413" i="23"/>
  <c r="Z434" i="23"/>
  <c r="Z414" i="23"/>
  <c r="Z426" i="23"/>
  <c r="Z428" i="23"/>
  <c r="Z405" i="23"/>
  <c r="Z418" i="23"/>
  <c r="Z437" i="23"/>
  <c r="Z435" i="23"/>
  <c r="Z417" i="23"/>
  <c r="Z423" i="23"/>
  <c r="Z403" i="23"/>
  <c r="Z409" i="23"/>
  <c r="Z438" i="23"/>
  <c r="Z412" i="23"/>
  <c r="Z422" i="23"/>
  <c r="Z439" i="23"/>
  <c r="Z419" i="23"/>
  <c r="Z431" i="23"/>
  <c r="Z408" i="23"/>
  <c r="Z440" i="23"/>
  <c r="Z407" i="23"/>
  <c r="Z415" i="23"/>
  <c r="Z420" i="23"/>
  <c r="Z404" i="23"/>
  <c r="Z427" i="23"/>
  <c r="Z432" i="23"/>
  <c r="Z406" i="23"/>
  <c r="Z436" i="23"/>
  <c r="Z433" i="23"/>
  <c r="Z441" i="23"/>
  <c r="Z416" i="23"/>
  <c r="Z424" i="23"/>
  <c r="Z429" i="23"/>
  <c r="Z442" i="23"/>
  <c r="Z425" i="23"/>
  <c r="Z502" i="9"/>
  <c r="Y523" i="9"/>
  <c r="Z506" i="9"/>
  <c r="Z521" i="9"/>
  <c r="Z509" i="9"/>
  <c r="Z520" i="9"/>
  <c r="Z508" i="9"/>
  <c r="Z519" i="9"/>
  <c r="Z507" i="9"/>
  <c r="Z512" i="9"/>
  <c r="Z518" i="9"/>
  <c r="Z517" i="9"/>
  <c r="Z516" i="9"/>
  <c r="Z514" i="9"/>
  <c r="Z511" i="9"/>
  <c r="Z510" i="9"/>
  <c r="Z515" i="9"/>
  <c r="Z513" i="9"/>
  <c r="Z466" i="9"/>
  <c r="Z484" i="9"/>
  <c r="Z499" i="9"/>
  <c r="Z468" i="9"/>
  <c r="Z486" i="9"/>
  <c r="Z500" i="9"/>
  <c r="Z488" i="9"/>
  <c r="Z489" i="9"/>
  <c r="Z490" i="9"/>
  <c r="Z494" i="9"/>
  <c r="Z473" i="9"/>
  <c r="Z491" i="9"/>
  <c r="Z474" i="9"/>
  <c r="Z492" i="9"/>
  <c r="Z475" i="9"/>
  <c r="Z493" i="9"/>
  <c r="Z476" i="9"/>
  <c r="Z478" i="9"/>
  <c r="Z497" i="9"/>
  <c r="Z483" i="9"/>
  <c r="Z498" i="9"/>
  <c r="Z469" i="9"/>
  <c r="Z471" i="9"/>
  <c r="Z472" i="9"/>
  <c r="Z467" i="9"/>
  <c r="Z470" i="9"/>
  <c r="Z487" i="9"/>
  <c r="Z503" i="9"/>
  <c r="F26" i="28" l="1"/>
  <c r="F25" i="28"/>
  <c r="G23" i="28"/>
  <c r="F22" i="28"/>
  <c r="G22" i="28" s="1"/>
  <c r="V535" i="9"/>
  <c r="F21" i="28"/>
  <c r="G26" i="28"/>
  <c r="K25" i="28"/>
  <c r="G25" i="28"/>
  <c r="K26" i="28"/>
  <c r="Q26" i="28"/>
  <c r="M26" i="28"/>
  <c r="O26" i="28"/>
  <c r="I26" i="28"/>
  <c r="I25" i="28"/>
  <c r="O25" i="28"/>
  <c r="Q25" i="28"/>
  <c r="S25" i="28"/>
  <c r="M25" i="28"/>
  <c r="V471" i="22"/>
  <c r="G24" i="28"/>
  <c r="P28" i="28"/>
  <c r="J28" i="28"/>
  <c r="V537" i="9"/>
  <c r="V532" i="9"/>
  <c r="V533" i="9"/>
  <c r="V534" i="9"/>
  <c r="V538" i="9"/>
  <c r="V536" i="9"/>
  <c r="V467" i="23"/>
  <c r="G21" i="28"/>
  <c r="V466" i="23"/>
  <c r="V472" i="23"/>
  <c r="V471" i="23"/>
  <c r="V470" i="23"/>
  <c r="V469" i="23"/>
  <c r="V468" i="23"/>
  <c r="V465" i="24"/>
  <c r="V471" i="24"/>
  <c r="V470" i="24"/>
  <c r="V469" i="24"/>
  <c r="V468" i="24"/>
  <c r="V467" i="24"/>
  <c r="V466" i="24"/>
  <c r="V465" i="21"/>
  <c r="V471" i="21"/>
  <c r="V470" i="21"/>
  <c r="V469" i="21"/>
  <c r="V468" i="21"/>
  <c r="V467" i="21"/>
  <c r="V466" i="21"/>
  <c r="V465" i="25"/>
  <c r="V471" i="25"/>
  <c r="V470" i="25"/>
  <c r="V469" i="25"/>
  <c r="V468" i="25"/>
  <c r="V467" i="25"/>
  <c r="V466" i="25"/>
  <c r="Z440" i="25"/>
  <c r="Z443" i="21"/>
  <c r="Z444" i="23"/>
  <c r="Z442" i="22"/>
  <c r="Z439" i="24"/>
  <c r="V465" i="22"/>
  <c r="Z525" i="9"/>
  <c r="Z524" i="9"/>
  <c r="S26" i="28" l="1"/>
  <c r="Q23" i="28"/>
  <c r="Q24" i="28"/>
  <c r="M24" i="28"/>
  <c r="S24" i="28"/>
  <c r="I24" i="28"/>
  <c r="O24" i="28"/>
  <c r="K24" i="28"/>
  <c r="O23" i="28"/>
  <c r="S23" i="28"/>
  <c r="M23" i="28"/>
  <c r="K23" i="28"/>
  <c r="I23" i="28"/>
  <c r="U28" i="28"/>
  <c r="K21" i="28"/>
  <c r="F28" i="28"/>
  <c r="I21" i="28"/>
  <c r="M21" i="28"/>
  <c r="O21" i="28"/>
  <c r="Q21" i="28"/>
  <c r="S21" i="28"/>
  <c r="Z523" i="9"/>
  <c r="G28"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1EA177E3-C266-4621-B36F-76A299DEA452}">
      <text>
        <r>
          <rPr>
            <sz val="9"/>
            <color indexed="81"/>
            <rFont val="Tahoma"/>
            <family val="2"/>
          </rPr>
          <t>Osioon on mahdollista syöttää kolmen erilaisen työkoneen tai muun kaluston siirrot. Jos erilaisia työkoneita on enemmän, on suositeltavaa moninkertaistaa kuljetusmatkan pituutta.</t>
        </r>
      </text>
    </comment>
    <comment ref="B44" authorId="0" shapeId="0" xr:uid="{FB46EF38-B677-4E11-95D3-CE3DCF791A23}">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1" authorId="0" shapeId="0" xr:uid="{ECEA41AB-53C1-422B-953F-644AC02B0EE0}">
      <text>
        <r>
          <rPr>
            <sz val="9"/>
            <color indexed="81"/>
            <rFont val="Tahoma"/>
            <family val="2"/>
          </rPr>
          <t>Määrät ja muuntokertoimet haetaan ensisijaisesti edellisestä kohdasta.</t>
        </r>
      </text>
    </comment>
    <comment ref="B180" authorId="0" shapeId="0" xr:uid="{CEB9D622-5215-4778-B212-82E11079DB39}">
      <text>
        <r>
          <rPr>
            <sz val="9"/>
            <color indexed="81"/>
            <rFont val="Tahoma"/>
            <family val="2"/>
          </rPr>
          <t>Osioon voi syöttää viisi erilaista tuotetta. Malli valitsee yksikön itse tuotteen valinnan jälkeen. Jos syötät oman tuotteen ja sille kertoimen, syötä yksikkö käsin.</t>
        </r>
      </text>
    </comment>
    <comment ref="B244" authorId="0" shapeId="0" xr:uid="{ED6C4E1B-26ED-44B5-82D4-8904A0C38CE3}">
      <text>
        <r>
          <rPr>
            <sz val="9"/>
            <color indexed="81"/>
            <rFont val="Tahoma"/>
            <family val="2"/>
          </rPr>
          <t>Mahdollisen tarkkailun työasiamatkat välilehden lopussa.</t>
        </r>
      </text>
    </comment>
    <comment ref="B274" authorId="0" shapeId="0" xr:uid="{8D7F7D9F-B075-473F-8769-2082ABDD8E52}">
      <text>
        <r>
          <rPr>
            <sz val="9"/>
            <color indexed="81"/>
            <rFont val="Tahoma"/>
            <family val="2"/>
          </rPr>
          <t>Osioon voi syöttää viisi erilaista tuotetta. Malli valitsee yksikön itse tuotteen valinnan jälkeen. Jos syötät oman tuotteen ja sille kertoimen, syötä yksikkö käsin.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4D8093A7-BE38-4903-9CCA-8FAE3E75AB37}">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9" authorId="0" shapeId="0" xr:uid="{FCA7F396-E9CD-4738-A4B8-D0E0780BCCC1}">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9" authorId="0" shapeId="0" xr:uid="{19F34F05-9426-4014-BB34-1B59CF8CFAEC}">
      <text>
        <r>
          <rPr>
            <sz val="9"/>
            <color indexed="81"/>
            <rFont val="Tahoma"/>
            <family val="2"/>
          </rPr>
          <t>Määrät ja muuntokertoimet haetaan ensisijaisesti edellisestä kohdasta.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9" authorId="0" shapeId="0" xr:uid="{1EEC84FD-24F4-4F6A-A99E-E72150B40367}">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3" authorId="0" shapeId="0" xr:uid="{7DFAADDA-B73D-4915-9089-991246392AAD}">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3" authorId="0" shapeId="0" xr:uid="{17482544-1861-4EAA-88C5-090F53B96A02}">
      <text>
        <r>
          <rPr>
            <sz val="9"/>
            <color indexed="81"/>
            <rFont val="Tahoma"/>
            <family val="2"/>
          </rPr>
          <t>Määrät ja muuntokertoimet haetaan ensisijaisesti edellisestä kohdasta.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9BF83FF9-4BC5-4F73-995F-0245CD5F58E3}">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2" authorId="0" shapeId="0" xr:uid="{88537CA1-1C41-4945-9522-A0AF7805A46B}">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2" authorId="0" shapeId="0" xr:uid="{792B2D27-928F-4046-A506-AC03D9679254}">
      <text>
        <r>
          <rPr>
            <sz val="9"/>
            <color indexed="81"/>
            <rFont val="Tahoma"/>
            <family val="2"/>
          </rPr>
          <t>Määrät ja muuntokertoimet haetaan ensisijaisesti edellisestä kohdasta.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D4151908-0FE2-4B14-99D3-A7505808A71F}">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2" authorId="0" shapeId="0" xr:uid="{E5F32C0C-722C-4A6C-9ACF-1BA2C1B10635}">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2" authorId="0" shapeId="0" xr:uid="{8685CF0B-F0A9-4788-A9CF-8D22E4F7B2F3}">
      <text>
        <r>
          <rPr>
            <sz val="9"/>
            <color indexed="81"/>
            <rFont val="Tahoma"/>
            <family val="2"/>
          </rPr>
          <t>Määrät ja muuntokertoimet haetaan ensisijaisesti edellisestä kohdasta.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Pöyry, Emilia</author>
  </authors>
  <commentList>
    <comment ref="B8" authorId="0" shapeId="0" xr:uid="{D629642C-8D56-43BB-ABC0-71D8301A9B4B}">
      <text>
        <r>
          <rPr>
            <sz val="9"/>
            <color indexed="81"/>
            <rFont val="Tahoma"/>
            <family val="2"/>
          </rPr>
          <t>Osioon on mahdollista syöttää kolmen erilaisen työkoneen tai muun kaluston siirrot. Jos erilaisia työkoneita on enemmän, on suositeltavaa moninkertaistaa kuljetusmatkan pituutta.</t>
        </r>
      </text>
    </comment>
    <comment ref="B52" authorId="0" shapeId="0" xr:uid="{D168ACDE-B1E0-474C-B989-EA84CA51C6B4}">
      <text>
        <r>
          <rPr>
            <sz val="9"/>
            <color indexed="81"/>
            <rFont val="Tahoma"/>
            <family val="2"/>
          </rPr>
          <t>Osioon on mahdollista syöttää viiden erilaisen poistettavan maa-aineksen tai muun jätteen tiedot. Jos poistettavia jakeita on enemmän, voidaan kasvattaa massamäärää tai kuljetusmatkaa.</t>
        </r>
      </text>
    </comment>
    <comment ref="B92" authorId="0" shapeId="0" xr:uid="{7C332B05-F946-4391-93D4-73F22E4E57CD}">
      <text>
        <r>
          <rPr>
            <sz val="9"/>
            <color indexed="81"/>
            <rFont val="Tahoma"/>
            <family val="2"/>
          </rPr>
          <t>Määrät ja muuntokertoimet haetaan ensisijaisesti edellisestä kohdasta.</t>
        </r>
      </text>
    </comment>
  </commentList>
</comments>
</file>

<file path=xl/sharedStrings.xml><?xml version="1.0" encoding="utf-8"?>
<sst xmlns="http://schemas.openxmlformats.org/spreadsheetml/2006/main" count="10986" uniqueCount="752">
  <si>
    <t>Laji 1</t>
  </si>
  <si>
    <t>Laji 2</t>
  </si>
  <si>
    <t>Laji 3</t>
  </si>
  <si>
    <t>Laji 4</t>
  </si>
  <si>
    <t>Laji 5</t>
  </si>
  <si>
    <t>km</t>
  </si>
  <si>
    <t>Kyllä</t>
  </si>
  <si>
    <t>Ei</t>
  </si>
  <si>
    <t>%</t>
  </si>
  <si>
    <t>t/h</t>
  </si>
  <si>
    <t>Kuljetuskalusto</t>
  </si>
  <si>
    <t>Poistetun maan jatkokäsittely vastaanottopaikassa</t>
  </si>
  <si>
    <t>Aggregaatti</t>
  </si>
  <si>
    <t>Pohjaveden hävikki</t>
  </si>
  <si>
    <t>Kohde:</t>
  </si>
  <si>
    <t>Arvion laatija:</t>
  </si>
  <si>
    <t>Päivämäärä:</t>
  </si>
  <si>
    <t>Työmaakalusto</t>
  </si>
  <si>
    <t>Porauskalusto (kalliorakentaminen)</t>
  </si>
  <si>
    <t>Poravaunu</t>
  </si>
  <si>
    <t>Maaporavaunu</t>
  </si>
  <si>
    <t>Suodatinkangas</t>
  </si>
  <si>
    <t>Bentoniittimatto</t>
  </si>
  <si>
    <t>kk</t>
  </si>
  <si>
    <t>Massanvaihto ja aumakäsittely</t>
  </si>
  <si>
    <t>Aumakäsittelyn lisätiedot</t>
  </si>
  <si>
    <t>Muokattava solu</t>
  </si>
  <si>
    <t>2. Laskentavälilehdet</t>
  </si>
  <si>
    <t>1. Kohdetiedot ja yhteenveto</t>
  </si>
  <si>
    <t>Injektoinnit:</t>
  </si>
  <si>
    <t>Termiset menetelmät:</t>
  </si>
  <si>
    <t>Huokosilmakäsittely:</t>
  </si>
  <si>
    <t>Fytoremediaatio:</t>
  </si>
  <si>
    <t>Luontaisen hajoamisen seuranta:</t>
  </si>
  <si>
    <t>Yhteensä:</t>
  </si>
  <si>
    <r>
      <t>m</t>
    </r>
    <r>
      <rPr>
        <vertAlign val="superscript"/>
        <sz val="11"/>
        <color theme="1"/>
        <rFont val="Arial"/>
        <family val="2"/>
        <scheme val="minor"/>
      </rPr>
      <t>2</t>
    </r>
  </si>
  <si>
    <r>
      <t>m</t>
    </r>
    <r>
      <rPr>
        <vertAlign val="superscript"/>
        <sz val="11"/>
        <color theme="1"/>
        <rFont val="Arial"/>
        <family val="2"/>
        <scheme val="minor"/>
      </rPr>
      <t>3</t>
    </r>
    <r>
      <rPr>
        <sz val="11"/>
        <color theme="1"/>
        <rFont val="Arial"/>
        <family val="2"/>
        <scheme val="minor"/>
      </rPr>
      <t>ktr</t>
    </r>
  </si>
  <si>
    <r>
      <t>m</t>
    </r>
    <r>
      <rPr>
        <vertAlign val="superscript"/>
        <sz val="11"/>
        <color theme="1"/>
        <rFont val="Arial"/>
        <family val="2"/>
        <scheme val="minor"/>
      </rPr>
      <t>3</t>
    </r>
  </si>
  <si>
    <t>Yhteenveto</t>
  </si>
  <si>
    <t>Kaivantojen tuenta</t>
  </si>
  <si>
    <t>Kuljetukset</t>
  </si>
  <si>
    <t>Jätteiden loppusijoitus</t>
  </si>
  <si>
    <t>Työasiamatkat</t>
  </si>
  <si>
    <t>Arvioitu kesto</t>
  </si>
  <si>
    <t>vuotta</t>
  </si>
  <si>
    <t>Injektoinnit</t>
  </si>
  <si>
    <t>Alkuperä</t>
  </si>
  <si>
    <t>Suomi</t>
  </si>
  <si>
    <t>Eurooppa</t>
  </si>
  <si>
    <t>Muu maailma</t>
  </si>
  <si>
    <t>Määrä</t>
  </si>
  <si>
    <t>h</t>
  </si>
  <si>
    <t>t</t>
  </si>
  <si>
    <t>Luontaisen biohajoamisen seuranta</t>
  </si>
  <si>
    <t>Termiset menetelmät</t>
  </si>
  <si>
    <t>Rakenteiden purkaminen</t>
  </si>
  <si>
    <t>Poistokaasujen imu</t>
  </si>
  <si>
    <t>Huokosilmakäsittely</t>
  </si>
  <si>
    <t>Fytoremediaatio</t>
  </si>
  <si>
    <t>Kasvien istutukset</t>
  </si>
  <si>
    <t>Valmistelu</t>
  </si>
  <si>
    <t>Poistettava puusto</t>
  </si>
  <si>
    <t>Poistettava asfaltti</t>
  </si>
  <si>
    <t>Poistettavat rakenteet</t>
  </si>
  <si>
    <t xml:space="preserve">Jakelukuorma-auto, 6 t, 20 % kuorma, maantieajo  </t>
  </si>
  <si>
    <t>Jakelukuorma-auto, 6 t, 20 % kuorma, kaupunkiajo</t>
  </si>
  <si>
    <t>Jakelukuorma-auto, 6 t, 50 % kuorma, maantieajo</t>
  </si>
  <si>
    <t>Jakelukuorma-auto, 6 t, 50 % kuorma, kaupunkiajo</t>
  </si>
  <si>
    <t>Jakelukuorma-auto, 6 t, 80 % kuorma, maantieajo</t>
  </si>
  <si>
    <t>Jakelukuorma-auto, 6 t, 80 % kuorma, kaupunkiajo</t>
  </si>
  <si>
    <t>Jakelukuorma-auto, 6 t, 100 % kuorma, maantieajo</t>
  </si>
  <si>
    <t>Jakelukuorma-auto, 6 t, 100 % kuorma, kaupunkiajo</t>
  </si>
  <si>
    <t>Jakelukuorma-auto, 15 t, 20 % kuorma, maantieajo</t>
  </si>
  <si>
    <t>Jakelukuorma-auto, 15 t, 20 % kuorma, kaupunkiajo</t>
  </si>
  <si>
    <t>Jakelukuorma-auto, 15 t, 50 % kuorma, maantieajo</t>
  </si>
  <si>
    <t>Jakelukuorma-auto, 15 t, 50 % kuorma, kaupunkiajo</t>
  </si>
  <si>
    <t>Jakelukuorma-auto, 15 t, 80 % kuorma, maantieajo</t>
  </si>
  <si>
    <t>Jakelukuorma-auto, 15 t, 80 % kuorma, kaupunkiajo</t>
  </si>
  <si>
    <t>Jakelukuorma-auto, 15 t, 100 % kuorma, maantieajo</t>
  </si>
  <si>
    <t>Jakelukuorma-auto, 15 t, 100 % kuorma, kaupunkiajo</t>
  </si>
  <si>
    <t>Maansiirtoauto, 32 t, 20 % kuorma, maantieajo</t>
  </si>
  <si>
    <t>Maansiirtoauto, 32 t, 20 % kuorma, kaupunkiajo</t>
  </si>
  <si>
    <t>Maansiirtoauto, 32 t, 50 % kuorma, maantieajo</t>
  </si>
  <si>
    <t>Maansiirtoauto, 32 t, 50 % kuorma, kaupunkiajo</t>
  </si>
  <si>
    <t>Maansiirtoauto, 32 t, 80 % kuorma, maantieajo</t>
  </si>
  <si>
    <t>Maansiirtoauto, 32 t, 80 % kuorma, kaupunkiajo</t>
  </si>
  <si>
    <t>Maansiirtoauto, 32 t, 100 % kuorma, maantieajo</t>
  </si>
  <si>
    <t>Maansiirtoauto, 32 t, 100 % kuorma, kaupunkiajo</t>
  </si>
  <si>
    <t>kaupunkiajo</t>
  </si>
  <si>
    <t>Puoliperävaunuyhdistelmä, 40 t, 20 % kuorma, maantieajo</t>
  </si>
  <si>
    <t>Puoliperävaunuyhdistelmä, 40 t, 20 % kuorma, kaupunkiajo</t>
  </si>
  <si>
    <t>Puoliperävaunuyhdistelmä, 40 t, 50 % kuorma, maantieajo</t>
  </si>
  <si>
    <t>Puoliperävaunuyhdistelmä, 40 t, 50 % kuorma, kaupunkiajo</t>
  </si>
  <si>
    <t>Puoliperävaunuyhdistelmä, 40 t, 80 % kuorma, maantieajo</t>
  </si>
  <si>
    <t>Puoliperävaunuyhdistelmä, 40 t, 80 % kuorma, kaupunkiajo</t>
  </si>
  <si>
    <t>Puoliperävaunuyhdistelmä, 40 t, 100 % kuorma, maantieajo</t>
  </si>
  <si>
    <t>Puoliperävaunuyhdistelmä, 40 t, 100 % kuorma, kaupunkiajo</t>
  </si>
  <si>
    <t>Täysperävaunuyhdistelmät, 60 t, 20 % kuorma, maantieajo</t>
  </si>
  <si>
    <t>Täysperävaunuyhdistelmät, 60 t, 20 % kuorma, kaupunkiajo</t>
  </si>
  <si>
    <t>Täysperävaunuyhdistelmät, 60 t, 50 % kuorma, maantieajo</t>
  </si>
  <si>
    <t>Täysperävaunuyhdistelmät, 60 t, 50 % kuorma, kaupunkiajo</t>
  </si>
  <si>
    <t>Täysperävaunuyhdistelmät, 60 t, 80 % kuorma, maantieajo</t>
  </si>
  <si>
    <t>Täysperävaunuyhdistelmät, 60 t, 80 % kuorma, kaupunkiajo</t>
  </si>
  <si>
    <t>Täysperävaunuyhdistelmät, 60 t, 100 % kuorma, maantieajo</t>
  </si>
  <si>
    <t>Täysperävaunuyhdistelmät, 60 t, 100 % kuorma, kaupunkiajo</t>
  </si>
  <si>
    <t>CO2data.fi</t>
  </si>
  <si>
    <t>https://co2data.fi/infra/reports/INFRA%20kuljetukset%20R01.00.pdf</t>
  </si>
  <si>
    <t>Siirto</t>
  </si>
  <si>
    <t>Jakelukuorma-auto, 6 t, 0 % kuorma, maantieajo</t>
  </si>
  <si>
    <t>Yksiköt</t>
  </si>
  <si>
    <t>m3itd</t>
  </si>
  <si>
    <t>Valitse</t>
  </si>
  <si>
    <t>Jakelukuorma-auto, 6 t, 0 % kuorma, kaupunkiajo</t>
  </si>
  <si>
    <t>Jakelukuorma-auto, 15 t, 0 % kuorma, maantieajo</t>
  </si>
  <si>
    <t>Maansiirtoauto, 0 % kuorma, maantieajo</t>
  </si>
  <si>
    <t>Maansiirtoauto, 0 % kuorma, kaupunkiajo</t>
  </si>
  <si>
    <t>Puoliperävaunuyhdistelmä, 0 % kuorma, maantieajo</t>
  </si>
  <si>
    <t>Puoliperävaunuyhdistelmä, 0 % kuorma, kaupunkiajo</t>
  </si>
  <si>
    <t>Täysperävaunuyhdistelmät, 60 t, 0 % kuorma, maantieajo</t>
  </si>
  <si>
    <t>Täysperävaunuyhdistelmät, 60 t, 0 % kuorma, kaupunkiajo</t>
  </si>
  <si>
    <t>Jakelukuorma-auto</t>
  </si>
  <si>
    <t>Maansiirtoauto</t>
  </si>
  <si>
    <t>maantieajo</t>
  </si>
  <si>
    <t>Jakelukuorma-auto, 15 t, 0 % kuorma, kaupunkiajo</t>
  </si>
  <si>
    <t>Kaivinkone, tela-alustainen, KKH 08</t>
  </si>
  <si>
    <t>Kaivinkone, tela-alustainen, KKH 11</t>
  </si>
  <si>
    <t>Kaivinkone, tela-alustainen, KKH 14</t>
  </si>
  <si>
    <t>Kaivinkone, tela-alustainen, KKH 17</t>
  </si>
  <si>
    <t>Kaivinkone, tela-alustainen, KKH 21</t>
  </si>
  <si>
    <t>Kaivinkone, tela-alustainen, KKH 25</t>
  </si>
  <si>
    <t>Kaivinkone, tela-alustainen, KKH 30</t>
  </si>
  <si>
    <t>Kaivinkone, tela-alustainen, KKH 35</t>
  </si>
  <si>
    <t>Kaivinkone, tela-alustainen, KKH 45</t>
  </si>
  <si>
    <t>Kaivinkone, tela-alustainen, KKH 55</t>
  </si>
  <si>
    <t>kgCO2e/h</t>
  </si>
  <si>
    <t>Pienoispyöräkuormaaja, KUP 00 tai KUP 03 (bobcat)</t>
  </si>
  <si>
    <t>Pyöräkuormaaja, KUP 100-130</t>
  </si>
  <si>
    <t>Pyöräkuormaaja, KUP 150-210</t>
  </si>
  <si>
    <t>Pyöräkuormaaja, KUP 30-90</t>
  </si>
  <si>
    <t>Asfaltinjyrsin</t>
  </si>
  <si>
    <t>Traktorikaivuri</t>
  </si>
  <si>
    <t>Kompressori</t>
  </si>
  <si>
    <t>https://co2data.fi/infra/reports/INFRA%20ty%C3%B6koneet%20R01.04.pdf</t>
  </si>
  <si>
    <t>Tasoseula, alle 20 t</t>
  </si>
  <si>
    <t>Tasoseula, yli 30 t</t>
  </si>
  <si>
    <t>Tasoseula, 20-30 t</t>
  </si>
  <si>
    <t>Paalutuskone alle 40 t</t>
  </si>
  <si>
    <t>Paalutuskone yli 40 t</t>
  </si>
  <si>
    <t>Paalutuskone, sähkö</t>
  </si>
  <si>
    <t>Massastabilointikone</t>
  </si>
  <si>
    <t>Kevyet tuennat</t>
  </si>
  <si>
    <t>Settiseinä</t>
  </si>
  <si>
    <t>Tuentaelementit</t>
  </si>
  <si>
    <t>Teräsponttiseinä</t>
  </si>
  <si>
    <t>Stabilointimenetelmä</t>
  </si>
  <si>
    <t>Keskimääräinen kuljetusetäisyys</t>
  </si>
  <si>
    <t>h/m3</t>
  </si>
  <si>
    <t>h/t</t>
  </si>
  <si>
    <t>Maa-ainekset</t>
  </si>
  <si>
    <t>kgCO2e/kg</t>
  </si>
  <si>
    <t>Käytetään tietojen puuttumisen vuoksi murskeen kerrointa. Käytännössä todennäköisesti louheen kerroin on hieman pienempi (ks. CO2data.fi:n dokumentin ympäristöselosteet).</t>
  </si>
  <si>
    <t>CO2data,fi</t>
  </si>
  <si>
    <t>https://co2data.fi/infra/reports/INFRA%20luonnonkivituotteet%20R01.04.pdf</t>
  </si>
  <si>
    <t>Sepeli</t>
  </si>
  <si>
    <t>Hukkakerroin</t>
  </si>
  <si>
    <t>Kasvu-alustat</t>
  </si>
  <si>
    <t>Turve</t>
  </si>
  <si>
    <t>Pelto- tai metsämulta</t>
  </si>
  <si>
    <t>Kompostimulta</t>
  </si>
  <si>
    <t>https://co2data.fi/infra/reports/INFRA%20viherrakentaminen%20R01.03.pdf</t>
  </si>
  <si>
    <t>Komposti, biojätekomposti</t>
  </si>
  <si>
    <t>Keskiarvo CO2data.fi:n kasvualustoista</t>
  </si>
  <si>
    <t>kgCO2e</t>
  </si>
  <si>
    <t>Oletusarvo</t>
  </si>
  <si>
    <t>m2</t>
  </si>
  <si>
    <t>m3ktr</t>
  </si>
  <si>
    <t xml:space="preserve"> </t>
  </si>
  <si>
    <t>t/m3</t>
  </si>
  <si>
    <t>Puoliperävaunu</t>
  </si>
  <si>
    <t>Täysperävaunu</t>
  </si>
  <si>
    <t>Kiviainekset</t>
  </si>
  <si>
    <t>Arvio CO2data.fi-tietojen pohjalta</t>
  </si>
  <si>
    <t>Jäte</t>
  </si>
  <si>
    <t>Ei tietoa</t>
  </si>
  <si>
    <t>Päästökerroin</t>
  </si>
  <si>
    <t>Puuston raivaus</t>
  </si>
  <si>
    <t>Lähde: LUKE/Puuston keskitilavuus metsämaalla koko maassa</t>
  </si>
  <si>
    <t>Puun hiilisisältö (kgCO2e/m3)</t>
  </si>
  <si>
    <t>Runkopuun tilavuus metsämaalla koko maassa (m3/ha)</t>
  </si>
  <si>
    <t>Kaataminen ja keruu metsurityönä (h/100m2)</t>
  </si>
  <si>
    <t>Moottorisahan polttoaineen kulutus (l/h)</t>
  </si>
  <si>
    <t>Kantojen poisto kaivin-koneella (h/100 m2)</t>
  </si>
  <si>
    <t>Lähteet: RT 0440 Raivaus, Autokalkulaattori, CO2data.fi</t>
  </si>
  <si>
    <t>Kaivinkone KKH 21 (kgCO2e/h)</t>
  </si>
  <si>
    <t>kgCO2e/m2</t>
  </si>
  <si>
    <t>Arvio maankaivuun ja kuormauksen tiedoilla KKH21(h/m3ktr)</t>
  </si>
  <si>
    <t>Lähteet: RT 0442, CO2data.fi</t>
  </si>
  <si>
    <t>Asfaltin keskimääräinen paksuus (cm)</t>
  </si>
  <si>
    <t>kgCO2e/m3ktr</t>
  </si>
  <si>
    <t>Muuntokerroin</t>
  </si>
  <si>
    <t>kgCO2/tkm</t>
  </si>
  <si>
    <t>Oma kerroin</t>
  </si>
  <si>
    <t>Kuljetusten päästökerroin</t>
  </si>
  <si>
    <t></t>
  </si>
  <si>
    <t>kgCO2/km</t>
  </si>
  <si>
    <t>kgCO2/h</t>
  </si>
  <si>
    <t>Apu1 (siirtoajoneuvo)</t>
  </si>
  <si>
    <t>Apu3 (siirtoajotyyppi)</t>
  </si>
  <si>
    <t>Tehokkuus/konetunnit</t>
  </si>
  <si>
    <t>m3/h</t>
  </si>
  <si>
    <t>m3</t>
  </si>
  <si>
    <t>W</t>
  </si>
  <si>
    <t>Kaivannon uppopumppu</t>
  </si>
  <si>
    <t>Tehoarvio</t>
  </si>
  <si>
    <t>m3rtd</t>
  </si>
  <si>
    <t>Huom. tuentamateriaaleja ei huomioida tässä laskuriversiossa</t>
  </si>
  <si>
    <t>gCO2/kWh</t>
  </si>
  <si>
    <t>Energia</t>
  </si>
  <si>
    <t>Sähkö</t>
  </si>
  <si>
    <t>Sähkö - Tuotanto</t>
  </si>
  <si>
    <t>Sähkö - Kulutus</t>
  </si>
  <si>
    <t>Sähkö - Muu elinkaari</t>
  </si>
  <si>
    <t>Lähde: Fingrid/vuosi 2022</t>
  </si>
  <si>
    <t>Sähkö - Jäännösjakauma</t>
  </si>
  <si>
    <t>Lähde: Energiavirasto/vuosi 2022</t>
  </si>
  <si>
    <t>Lähde: Autokalkulaattori</t>
  </si>
  <si>
    <t>kgCO2/m3</t>
  </si>
  <si>
    <t>Loppusijoituksen työkoneet</t>
  </si>
  <si>
    <t>kgCO2e/m3itd</t>
  </si>
  <si>
    <t>Korvaava maa-aines</t>
  </si>
  <si>
    <t>Hyödyt</t>
  </si>
  <si>
    <t>Lähde: CO2data.fi</t>
  </si>
  <si>
    <t>Kiviaines (kgCO2e/kg)</t>
  </si>
  <si>
    <t>Muunnos (t/m3)</t>
  </si>
  <si>
    <t>käyntiä/vuosi</t>
  </si>
  <si>
    <t>käyntiä/viikko</t>
  </si>
  <si>
    <t>gCO2e/km</t>
  </si>
  <si>
    <t>kgCO2e/tkm</t>
  </si>
  <si>
    <t>l/100 km</t>
  </si>
  <si>
    <t>Autokalkulaattori</t>
  </si>
  <si>
    <t>https://autokalkulaattori.fi/</t>
  </si>
  <si>
    <t>Bensiini</t>
  </si>
  <si>
    <t>Diesel</t>
  </si>
  <si>
    <t>Ajoneuvon keskikulutus</t>
  </si>
  <si>
    <t>Työasiamatka-ajoneuvo, diesel</t>
  </si>
  <si>
    <t>Työasiamatka-ajoneuvo, bensiini</t>
  </si>
  <si>
    <t>Työasiamatka-ajoneuvo, sähkö</t>
  </si>
  <si>
    <t>kWh/100 km</t>
  </si>
  <si>
    <t>Työasiamatka-ajoneuvo, kaasu</t>
  </si>
  <si>
    <t>kg/100 km</t>
  </si>
  <si>
    <t>Työasiamatka-ajoneuvo, hybridi</t>
  </si>
  <si>
    <t>Bensiini-hybridi</t>
  </si>
  <si>
    <t>Diesel-hybridi</t>
  </si>
  <si>
    <t>Työasiamatka-ajoneuvo, ladattava hybridi</t>
  </si>
  <si>
    <t>Bensiini-hybridi sähkö</t>
  </si>
  <si>
    <t>Diesel-hybridi sähkö</t>
  </si>
  <si>
    <t>Sähkö - Ajoneuvot</t>
  </si>
  <si>
    <t>Kaasu</t>
  </si>
  <si>
    <t>Hybridi</t>
  </si>
  <si>
    <t>Ladattava hybridi</t>
  </si>
  <si>
    <t>Diesel - Suorat päästöt</t>
  </si>
  <si>
    <t>Biokaasu - Suorat päästöt</t>
  </si>
  <si>
    <t>Diesel - Valmistuksen ja hankinnan päästöt</t>
  </si>
  <si>
    <t>Bensiini  - Valmistuksen ja hankinnan päästöt</t>
  </si>
  <si>
    <t>Biokaasu  - Valmistuksen ja hankinnan päästöt</t>
  </si>
  <si>
    <t>Bensiini - Suorat päästöt</t>
  </si>
  <si>
    <t>kgCO2e/l</t>
  </si>
  <si>
    <t>Matkat (km)</t>
  </si>
  <si>
    <t>Bensiinin päästöt</t>
  </si>
  <si>
    <t>Dieselin päästöt</t>
  </si>
  <si>
    <t>Hybridien päästöt</t>
  </si>
  <si>
    <t>Ladat. hyb. päästöt</t>
  </si>
  <si>
    <t>Kaasun päästöt</t>
  </si>
  <si>
    <t>Sähkön päästöt</t>
  </si>
  <si>
    <t>Kokonaistuntiarvio</t>
  </si>
  <si>
    <t>Tuntimäärä</t>
  </si>
  <si>
    <t>kgCO2/t</t>
  </si>
  <si>
    <t>kgCO2e/t</t>
  </si>
  <si>
    <t>Apu 2 (jk-autotarkennus)</t>
  </si>
  <si>
    <t>Huom. pohjaveden hävikkiä ei huomioida tässä laskuriversiossa</t>
  </si>
  <si>
    <t>l</t>
  </si>
  <si>
    <t>kg</t>
  </si>
  <si>
    <t>Kuljetus</t>
  </si>
  <si>
    <t>Tiekuljetus</t>
  </si>
  <si>
    <t>Laivarahti</t>
  </si>
  <si>
    <t>Lentorahti</t>
  </si>
  <si>
    <t>Kuljetettava määrä</t>
  </si>
  <si>
    <t>gCO2e/tkm</t>
  </si>
  <si>
    <t>Merikuljetus, konttilaiva, 1000 TEU</t>
  </si>
  <si>
    <t>Raidekuljetus</t>
  </si>
  <si>
    <t xml:space="preserve">Junakuljetus, konttijuna, diesel, 686t </t>
  </si>
  <si>
    <t>Ecoinvent</t>
  </si>
  <si>
    <t>transport, freight, aircraft, all distances to generic market for transport, freight, aircraft, unspecified</t>
  </si>
  <si>
    <t>Tuentamateriaalien määrä</t>
  </si>
  <si>
    <t>Asennus- ja valmisteluvaiheessa tarvittavat työkoneet</t>
  </si>
  <si>
    <t>Energiamäärä</t>
  </si>
  <si>
    <t>kWh</t>
  </si>
  <si>
    <t>Energialähde</t>
  </si>
  <si>
    <t>kgCO2/m2</t>
  </si>
  <si>
    <t>Käyttöaika</t>
  </si>
  <si>
    <t>tunti</t>
  </si>
  <si>
    <t>päivä</t>
  </si>
  <si>
    <t>kuukausi</t>
  </si>
  <si>
    <t>vuosi</t>
  </si>
  <si>
    <t>Polttoöljy - Suorat päästöt</t>
  </si>
  <si>
    <t>Polttoöljy - Valmistuksen ja hankinnan päästöt</t>
  </si>
  <si>
    <t>Nestekaasu - Suorat päästöt</t>
  </si>
  <si>
    <t>Nestekaasu - Valmistuksen ja hankinnan päästöt</t>
  </si>
  <si>
    <t>JEC well-to-tank report V5</t>
  </si>
  <si>
    <t>Hyötysuhteet</t>
  </si>
  <si>
    <t>Polttomoottoripumppu</t>
  </si>
  <si>
    <t>Aurinkopaneelit</t>
  </si>
  <si>
    <t>Aurinkopaneeli - Suorat päästö</t>
  </si>
  <si>
    <t>Aurinkopaneeli - Valmistuksen ja hankinnan päästöt</t>
  </si>
  <si>
    <t>Ostosähkö</t>
  </si>
  <si>
    <t>Kokonaiskäyttöaika (puhdistamisen kesto)</t>
  </si>
  <si>
    <t>kpl</t>
  </si>
  <si>
    <t>m</t>
  </si>
  <si>
    <t>Käsittelyssä käytettävien kemikaalien, tuotteiden ja materiaalien kuljetukset alueelle</t>
  </si>
  <si>
    <t>Yksikkö</t>
  </si>
  <si>
    <t>Poistokaasujen käsittelyn mahdollinen energiankäyttö</t>
  </si>
  <si>
    <t>Prosessia tehostavan mahdollinen kuuman ilman, höyryn tai veden tuottaminen</t>
  </si>
  <si>
    <t>Puhdistuksen päättäminen</t>
  </si>
  <si>
    <t>Maaperän lämmittäminen</t>
  </si>
  <si>
    <t>Injektointiaineen syöttö</t>
  </si>
  <si>
    <t>Mahdollinen poistokaasujen imu</t>
  </si>
  <si>
    <t>Kunnossapito ja mahdollinen haitta-aineita sisältävien kasvien kerääminen ja jatkokäsittely</t>
  </si>
  <si>
    <t>Työasiamatkat puhdistamisen aikana (urakointi, työmaavalvonta, kokoukset ym.)</t>
  </si>
  <si>
    <t>Puhdistamisen aikana tehdyn edestakaisen työasiamatkan keskipituus</t>
  </si>
  <si>
    <t>Oletuskerroin</t>
  </si>
  <si>
    <t>Valitse kuljetuskalusto</t>
  </si>
  <si>
    <t>Muu kuljetuskalusto (oma kerroin)</t>
  </si>
  <si>
    <t>Valitse työkone</t>
  </si>
  <si>
    <t>Muu työkone (oma kerroin)</t>
  </si>
  <si>
    <t>Maa-aineksen tai materiaalin maa-aineslaji 5</t>
  </si>
  <si>
    <t>Kemikaali-, tuote- tai materiaalilaji 1</t>
  </si>
  <si>
    <t>Kemikaali-, tuote- tai materiaalilaji 2</t>
  </si>
  <si>
    <t>Kemikaali-, tuote- tai materiaalilaji 3</t>
  </si>
  <si>
    <t>Kemikaali-, tuote- tai materiaalilaji 4</t>
  </si>
  <si>
    <t>Kemikaali-, tuote- tai materiaalilaji 5</t>
  </si>
  <si>
    <t>Reittiosuuden pituus</t>
  </si>
  <si>
    <t>Valitse käyttövoima</t>
  </si>
  <si>
    <t>Arvio puhdistettavan alueen laajuudesta:</t>
  </si>
  <si>
    <t>Arvio puhdistettavan maan määrästä:</t>
  </si>
  <si>
    <t>Arvio puhdistettavan pohjaveden määrästä:</t>
  </si>
  <si>
    <t>Arvio puhdistuksen kestosta</t>
  </si>
  <si>
    <t>Tulokset</t>
  </si>
  <si>
    <t>Tuotevaihe</t>
  </si>
  <si>
    <t>Valmisteluvaihe</t>
  </si>
  <si>
    <t>kgCO2e (biogeeninen hiili)</t>
  </si>
  <si>
    <t>Lasketut päästöt</t>
  </si>
  <si>
    <t>Tehokkuus tai konetunnit</t>
  </si>
  <si>
    <t>Käsittelyaika</t>
  </si>
  <si>
    <t>Mahdollisten korvaavien maa-ainesten määrä</t>
  </si>
  <si>
    <t>Maa-aineksen valmistuksen päästökerroin</t>
  </si>
  <si>
    <t>Bruttomäärä tonneina</t>
  </si>
  <si>
    <t>Mahdollisten korvaavien maa-ainesten kuljetukset alueelle</t>
  </si>
  <si>
    <t>Sementti</t>
  </si>
  <si>
    <t>Savi</t>
  </si>
  <si>
    <t>Lentotuhka</t>
  </si>
  <si>
    <t>Kuituliete</t>
  </si>
  <si>
    <t>Siistausjäte</t>
  </si>
  <si>
    <t>Huomioverkko</t>
  </si>
  <si>
    <t>Tuotteen tai materiaalin määrä</t>
  </si>
  <si>
    <t>Tuotteen tai materiaalin valmistuksen päästökerroin</t>
  </si>
  <si>
    <t>https://co2data.fi/infra/reports/INFRA%20kuivatuotteet%20R01.03.pdf</t>
  </si>
  <si>
    <t>Stabilointiaine, sementti</t>
  </si>
  <si>
    <t>market for bentonite, global</t>
  </si>
  <si>
    <t>Keskiarvo N1 - N5</t>
  </si>
  <si>
    <t>https://co2data.fi/infra/reports/INFRA%20muovituotteet%20R01.04.pdf</t>
  </si>
  <si>
    <t>Ohutmuovikalvo</t>
  </si>
  <si>
    <t>INFRA muovituotteet R01.04.pdf (co2data.fi)</t>
  </si>
  <si>
    <t>Ohutmuovikalvo-oletus</t>
  </si>
  <si>
    <t>Kiviaineisten oletusarvoarvio</t>
  </si>
  <si>
    <t>Kerroin</t>
  </si>
  <si>
    <t>Kuljetettava määrä kiloina</t>
  </si>
  <si>
    <t>Lentorahti, kansainvälinen keskiarvo</t>
  </si>
  <si>
    <t>Valitse tiekuljetuksen kuljetuskalusto alasvetovalikosta</t>
  </si>
  <si>
    <t>Nettomäärä tonneina</t>
  </si>
  <si>
    <t>Geomembraani</t>
  </si>
  <si>
    <t>Kuljetusten päästöt</t>
  </si>
  <si>
    <t>Siirtoajojen määrä</t>
  </si>
  <si>
    <t>Jatkokäsittelyn päästökerroin</t>
  </si>
  <si>
    <t>Hiilijalanjäljen ulkopuolinen ilmastohyöty</t>
  </si>
  <si>
    <t>Kaluston massa</t>
  </si>
  <si>
    <t>Päätösvaihe</t>
  </si>
  <si>
    <t>Hiilijalanjäljen ulkopuoliset ilmastohyödyt</t>
  </si>
  <si>
    <t>Käsittelyssä käytettävien tuotteiden ja materiaalien kuljetukset alueelle</t>
  </si>
  <si>
    <t>Korvaavien maa-ainesten kuljetukset alueelle</t>
  </si>
  <si>
    <t>Työkoneen kuvaus 1</t>
  </si>
  <si>
    <t>Työkoneen kuvaus 2</t>
  </si>
  <si>
    <t>Työkoneen kuvaus 3</t>
  </si>
  <si>
    <t>Työvaiheeseen käytettävä kokonaistuntimäärä</t>
  </si>
  <si>
    <t>Käsittelyn vuoksi alueelta poistettavat rakenteet kiintokuutioina</t>
  </si>
  <si>
    <t>Muoviputket</t>
  </si>
  <si>
    <t>Happi</t>
  </si>
  <si>
    <t>Lannoiteet</t>
  </si>
  <si>
    <t>Nollarauta</t>
  </si>
  <si>
    <t>Biohiili</t>
  </si>
  <si>
    <t>Salaojasora</t>
  </si>
  <si>
    <t>Pontit</t>
  </si>
  <si>
    <t>Vetyperoksidi</t>
  </si>
  <si>
    <t>Polysulfidit</t>
  </si>
  <si>
    <t>kgCO2e/m</t>
  </si>
  <si>
    <t>Maaviemäri, ka., PVC 160 mm</t>
  </si>
  <si>
    <t>market for hydrogen peroxide, without water, in 50% solution state, EUR</t>
  </si>
  <si>
    <t>market for polysulfide, sealing compound</t>
  </si>
  <si>
    <t>market for sponge iron</t>
  </si>
  <si>
    <t>market for oxygen, liquid</t>
  </si>
  <si>
    <t>Aktiivihiili - regeneroitu</t>
  </si>
  <si>
    <t>https://aktivt-kul.dk/wp-content/uploads/2022/07/Carbon-footprint-coal-vs.-coconut.pdf</t>
  </si>
  <si>
    <t>Aktiivihiili - kookos</t>
  </si>
  <si>
    <t>Aktiivihiili - hiili</t>
  </si>
  <si>
    <t>Ilman lämmön hyödyntämistä</t>
  </si>
  <si>
    <t>Terminen</t>
  </si>
  <si>
    <t>Asfaltointi</t>
  </si>
  <si>
    <t>HDPE-kalvo</t>
  </si>
  <si>
    <t>Huokosilma</t>
  </si>
  <si>
    <t>https://co2data.fi/infra/reports/INFRA%20asfaltti%20R01.03.pdf</t>
  </si>
  <si>
    <t>Oletus 2 mm, tiheys 0,95 g/cm3</t>
  </si>
  <si>
    <t>Kalkki</t>
  </si>
  <si>
    <t>Puun taimet</t>
  </si>
  <si>
    <t>Aumakäsittely</t>
  </si>
  <si>
    <t>Asfaltti</t>
  </si>
  <si>
    <t>Kuorikate</t>
  </si>
  <si>
    <t>kgCO2e/m3</t>
  </si>
  <si>
    <t>Maanparannuskalkki</t>
  </si>
  <si>
    <t>kgCO2e/kpl</t>
  </si>
  <si>
    <t>Lannoitteet</t>
  </si>
  <si>
    <t>Oletetaan kierrätysmateriaaliksi</t>
  </si>
  <si>
    <t>Tuotteistetut kasvualustat</t>
  </si>
  <si>
    <t>Oletetaan uusiokäyttö</t>
  </si>
  <si>
    <t>Fytoremeditaatio</t>
  </si>
  <si>
    <t>Injektointi ja termiset</t>
  </si>
  <si>
    <t>Bentoniitti</t>
  </si>
  <si>
    <t>m3rtr</t>
  </si>
  <si>
    <t>Massanvaihto ja aumakäsittelyt:</t>
  </si>
  <si>
    <t>CO2e/m3</t>
  </si>
  <si>
    <t>Kirjoita tähän kuljetettavan työkoneen tai muun työmaakaluston kuvaus 1</t>
  </si>
  <si>
    <t>Kirjoita tähän kuljetettavan työkoneen tai muun työmaakaluston kuvaus 2</t>
  </si>
  <si>
    <t>Kirjoita tähän kuljetettavan työkoneen tai muun työmaakaluston kuvaus 3</t>
  </si>
  <si>
    <t>Kuljetusten päästökerroin (yhden tonnin kuljettaminen kilometrin matkan verran oletetulla kuormamäärällä ja ajettavalla reittityypillä)</t>
  </si>
  <si>
    <t>Siirtoajon päästökerroin (kilometrin matka tyhjänä)</t>
  </si>
  <si>
    <t>Kuormausaste</t>
  </si>
  <si>
    <t>Ajettavan reitin tyyppi</t>
  </si>
  <si>
    <t>Kaluston kokonaispaino</t>
  </si>
  <si>
    <t>Kuljetusvälinetyyppi</t>
  </si>
  <si>
    <t>Kuljetettu massamäärä</t>
  </si>
  <si>
    <t>Kuljetusmatkat yhteensä</t>
  </si>
  <si>
    <t>Kuljetusmatka</t>
  </si>
  <si>
    <t>Siirtoajomatka</t>
  </si>
  <si>
    <t>Siirtoajomatkat yhteensä</t>
  </si>
  <si>
    <t>Siirtoajon päästökerroin</t>
  </si>
  <si>
    <t>Työkoneen päästökerroin (per purettava kuutiometri)</t>
  </si>
  <si>
    <t>Työkoneen päästökerroin (per purettava neliömetri)</t>
  </si>
  <si>
    <t>Työkoneiden päästökerroin (per raivattu neliömetri)</t>
  </si>
  <si>
    <t>Puuston sisältämän hiilen määrä (per raivattu neliömetri)</t>
  </si>
  <si>
    <t>Kirjoita tähän maa-aineksen tai materiaalin kuvaus 1</t>
  </si>
  <si>
    <t>Kirjoita tähän maa-aineksen tai materiaalin kuvaus 2</t>
  </si>
  <si>
    <t>Kirjoita tähän maa-aineksen tai materiaalin kuvaus 3</t>
  </si>
  <si>
    <t>Kirjoita tähän maa-aineksen tai materiaalin kuvaus 4</t>
  </si>
  <si>
    <t>Murske (valitse tarvittaessa sopivampi yksikkö ja muuntokerroin tonneiksi)</t>
  </si>
  <si>
    <t>Louhe (valitse tarvittaessa sopivampi yksikkö ja muuntokerroin tonneiksi)</t>
  </si>
  <si>
    <t>Sora (valitse tarvittaessa sopivampi yksikkö ja muuntokerroin tonneiksi)</t>
  </si>
  <si>
    <t>Hiekka (valitse tarvittaessa sopivampi yksikkö ja muuntokerroin tonneiksi)</t>
  </si>
  <si>
    <t>Maa-aineksen 5 kuvaus (valitse yksikkö ja mahdollinen muuntokerroin tonneiksi)</t>
  </si>
  <si>
    <t>Maa-aineksen tuotannon päästökerroin</t>
  </si>
  <si>
    <t>Poistettavia maa-aineksia korvaavien maa-ainesten määrä</t>
  </si>
  <si>
    <t>kgCO2/kg</t>
  </si>
  <si>
    <t>Käsiteltävä määrä</t>
  </si>
  <si>
    <t>Työkoneen päästökerroin (per työtunti)</t>
  </si>
  <si>
    <t>Varastoitava määrä irtotilavuutena ja muuntokerroin tonneiksi</t>
  </si>
  <si>
    <t>Käsiteltävä ainesmäärä kuutiometreinä</t>
  </si>
  <si>
    <t>Työkoneiden käyttö työtunteina</t>
  </si>
  <si>
    <t>Käsittelyn vuoksi raivattavan puuston pinta-ala neliömetreinä</t>
  </si>
  <si>
    <t>Käsittelyn vuoksi alueelta poistettava asfalttipinta neliömetreinä</t>
  </si>
  <si>
    <t>Maa-ainesten poisto ja muu kaivu</t>
  </si>
  <si>
    <t>Alueelle levitetty täyttö kiintokuutioina; määrän voi jättää antamatta, jos korvaavien maa-ainesten määrä on syötetty jo aiemmassa kohdassa</t>
  </si>
  <si>
    <t>Pumppujen kokonaiskäyttöaika ja sitä kuvaava aikayksikkö alasvetovalikosta</t>
  </si>
  <si>
    <t>Pumppujen yhteenlaskettu teho watteina</t>
  </si>
  <si>
    <t>Jos pumppujen tarvitsema energiamäärä voidaan arvioida (ensisijainen laskentatapa)</t>
  </si>
  <si>
    <t>Jos pumppujen tarvitsema teho voidaan arvioida (toissijainen laskentatapa)</t>
  </si>
  <si>
    <t>Täytöt ja muu korvaavien maa-ainesten käyttö alueella</t>
  </si>
  <si>
    <t>Käsittelyssä tarvittavien työkoneiden ja muun työmaakaluston kuljetus alueelle sekä niiden kuljetus alueelta pois käsittelyn päättyessä</t>
  </si>
  <si>
    <t>Tuonti</t>
  </si>
  <si>
    <t>Vienti</t>
  </si>
  <si>
    <t>Työkoneiden ja muun työmaakaluston pois kuljetukset huomioitu jo aiemmin</t>
  </si>
  <si>
    <t>Kirjoita tähän työvaiheen nimi 1</t>
  </si>
  <si>
    <t>Kirjoita tähän työvaiheen nimi 2</t>
  </si>
  <si>
    <t>Kirjoita tähän työvaiheen nimi 3</t>
  </si>
  <si>
    <t>Käsittelyn veden määrä puhdistuskohteessa kuutiometrinä</t>
  </si>
  <si>
    <t>Huom. käsitellyn veden määrää ei huomioida tässä laskuriversiossa</t>
  </si>
  <si>
    <t>Jäteveden käsittelyn oletuskerroin</t>
  </si>
  <si>
    <t>Jätevedet</t>
  </si>
  <si>
    <t>Jäteveden käsittely</t>
  </si>
  <si>
    <t>Arvio</t>
  </si>
  <si>
    <t>Arvio Awaitey (2020) opinnäytetyön pohjalta</t>
  </si>
  <si>
    <t>Viemäröidyn veden määrä kuutiometreinä</t>
  </si>
  <si>
    <t>Muunto</t>
  </si>
  <si>
    <t>Laskentaoletus puoliperävaunuyhdistelmä, 40 t, 80 % kuorma, maantieajo (kgCO2/tkm)</t>
  </si>
  <si>
    <t>Laskennallinen päästökerroin</t>
  </si>
  <si>
    <t>Biokaasu</t>
  </si>
  <si>
    <t>Käyttövoiman kulutus arvio (kWh/tkm)</t>
  </si>
  <si>
    <t>Käyttövoiman kulutus (kWh/tkm)</t>
  </si>
  <si>
    <t>Kaluston kuljetuksessa käytettävä kuljetusväline ja sen kokonaismassa, kuormausaste ja ajettavan reitin tyyppi (valitse viereisestä alasvetovalikosta)</t>
  </si>
  <si>
    <t>Kuljetettavan kaluston massa tonneina</t>
  </si>
  <si>
    <t>Kuljetusvälineen käyttövoima (valitse viereisestä alasvetovalikosta)</t>
  </si>
  <si>
    <t>Kaluston kuljetusmatkan pituus yhteen suuntaan kilometreinä</t>
  </si>
  <si>
    <t>Käsittelyä varten tehtävät puuston, asfalttipintojen  tai rakenteiden poisto</t>
  </si>
  <si>
    <t>Työkoneen käyttövoima (valitse viereisestä alasvetovalikosta)</t>
  </si>
  <si>
    <t>Käytettävä työkone (valitse viereisestä alasvetovalikosta)</t>
  </si>
  <si>
    <t>Käsittelyteho (maa-ainesmäärä per tunti), konetuntien tarve (tunti per maa-ainesmäärä) tai työvaiheen kokonaistuntiarvio sekä sopiva yksikkö (valitse viereisestä alasvetovalikosta)</t>
  </si>
  <si>
    <t>Maa-ainesten tai purkumateriaalien kuljetuksessa käytettävä kuljetusväline ja sen kokonaismassa, kuormausaste ja ajettavan reitin tyyppi (valitse viereisestä alasvetovalikosta)</t>
  </si>
  <si>
    <t>Kuljetetun maa-aineksen tai purkumateriaalien määrä, käytetty yksikkö (valitse alasvetovalikosta) ja tarvittava muuntokerroin kuutiosta tonneiksi</t>
  </si>
  <si>
    <t>Maa-aineksen tai materiaalin kuljetusmatkan pituus yhteen suuntaan kilometreinä</t>
  </si>
  <si>
    <t>Vastaanottopaikassa loppusijoitettava maa-aineksen määrä kiintokuutioina (sijoitukseen tarvittavien työkoneiden päästöjen laskenta)</t>
  </si>
  <si>
    <t>Fingrid</t>
  </si>
  <si>
    <t>Energiavirasto</t>
  </si>
  <si>
    <t>Oletus</t>
  </si>
  <si>
    <t>Oletetaan pääomahyödykkeeksi (ei mukana hiilijalanjäljen laskennassa)</t>
  </si>
  <si>
    <t>CO2data.fi ja Ratu-kortisto</t>
  </si>
  <si>
    <t>Loppukäsittelyn oletus (rakentaminen)</t>
  </si>
  <si>
    <t>Jatkokäsittelyn päästökerroin (per käsitelty kuutiometri)</t>
  </si>
  <si>
    <t>Korvattavan maa-aineksen päästökerroin (per kuutiometri)</t>
  </si>
  <si>
    <t>Hiilijalanjäljen ulkopuolinen bruttomääräinen ilmastohyöty</t>
  </si>
  <si>
    <t>Maa-aineksen kuljetusmatkan pituus yhteen suuntaan kilometreinä</t>
  </si>
  <si>
    <t>Maa-aineksen määrä (edellisen kohdan tiedot)</t>
  </si>
  <si>
    <t>Muulla tavoin vastaanottopaikassa jatkokäsiteltävän Maa-aineksen määrä (edellisen kohdan tiedot) kiintokuutioina ja L-sarakkeelle käsittelyn päästökerroin (oletusarvona rakentamisen jätteiden käsittelyn keskiarvo)</t>
  </si>
  <si>
    <t>Maa-aineksen määrä (edellisen kohdan tiedot) (edellisen kohdan tiedot)</t>
  </si>
  <si>
    <t>Vertailuksi yllä ilmoitettujen korvaavien maa-aineisten määrä tonneina</t>
  </si>
  <si>
    <t>Käytettävä kuljetusväline ja sen kokonaismassa, kuormausaste ja ajettavan reitin tyyppi (valitse viereisestä alasvetovalikosta)</t>
  </si>
  <si>
    <t>Seulonta tms. maa-ainesten muu käsittely</t>
  </si>
  <si>
    <t>Maa-aineisten välivarastointi alueella</t>
  </si>
  <si>
    <t>Vesien pumppaaminen</t>
  </si>
  <si>
    <t>Energialähteen oletuspäästökerroin (per energiayksikkö)</t>
  </si>
  <si>
    <t>gCO2/e-yksikkö</t>
  </si>
  <si>
    <t>Polttomoottoripumpun hyötysuhde</t>
  </si>
  <si>
    <t>Pumpun hyötysuhde</t>
  </si>
  <si>
    <t>Sähköpumppu</t>
  </si>
  <si>
    <t>Pumppujen energiankulutus käytön aikana ja yksikkö joko kilowattitunteina tai litroina (valitse viereisestä alasvetovalikosta)</t>
  </si>
  <si>
    <t>Valitse yksikkö</t>
  </si>
  <si>
    <t>litra</t>
  </si>
  <si>
    <t xml:space="preserve">Edeltävän reittiosuuden kuljetustapa (valitse alasvetovalikosta) ja reittiosuuden pituus </t>
  </si>
  <si>
    <t>Edeltävän reittiosuuden kuljetustapa (valitse alasvetovalikosta) ja reittiosuuden pituus</t>
  </si>
  <si>
    <t>Aumakäsittelyn työmaatoiminta</t>
  </si>
  <si>
    <t>Aumojen kasaus ja rakentaminen (käsiteltävän aineksen määrä kuutiometreinä)</t>
  </si>
  <si>
    <t>Aumojen kääntö ja muotoilu (käsiteltävän aineksen määrä kuutiometreinä)</t>
  </si>
  <si>
    <t>Seulonta tms. käsittely (käsiteltävän aineksen määrä kuutiometreinä)</t>
  </si>
  <si>
    <t>Tuotteen tai materiaalin valmistuksen päästökerroin (per yksikkö)</t>
  </si>
  <si>
    <t>Materiaalin kuljetusmatkan pituus yhteen suuntaan kilometreinä</t>
  </si>
  <si>
    <t>Materiaalin kuljetuksessa käytettävä kuljetusväline ja sen kokonaismassa, kuormausaste ja ajettavan reitin tyyppi (valitse viereisestä alasvetovalikosta)</t>
  </si>
  <si>
    <t>Vastaanottopaikassa loppusijoitettava materiaalin määrä kiintokuutioina (sijoitukseen tarvittavien työkoneiden päästöjen laskenta)</t>
  </si>
  <si>
    <t>Vastaanottopaikassa loppusijoitettava maa-aineksen määrä (edellisen kohdan tiedot) kiintokuutioina (sijoitukseen tarvittavien työkoneiden päästöjen laskenta)</t>
  </si>
  <si>
    <t>Kuljetetun materiaalin määrä, käytetty yksikkö (valitse alasvetovalikosta) ja tarvittaessa muuntokerroin kuutiosta tonneiksi</t>
  </si>
  <si>
    <t>Huom. oletuksena on, että kuljetusväline lähtee tyhjänä jätteen vastaanottopaikasta ja matka kohdealueelle tapahtuu siirtoajona.</t>
  </si>
  <si>
    <t>Laji 1 ja käsitelty määrä tonneina</t>
  </si>
  <si>
    <t>Laji 2 ja käsitelty määrä tonneina</t>
  </si>
  <si>
    <t>Laji 3  ja käsitelty määrä tonneina</t>
  </si>
  <si>
    <t>Laji 4  ja käsitelty määrä tonneina</t>
  </si>
  <si>
    <t>Laji 5  ja käsitelty määrä tonneina</t>
  </si>
  <si>
    <t>Korvattavan materiaalin päästökerroin</t>
  </si>
  <si>
    <t>Loppukäsittelyn (keskiarvo rakentaminen)</t>
  </si>
  <si>
    <t>Oletus rakentamisjätteen käsittelyn pohjalta CO2data.fi (concrete materials) ja muunnokset (karkea hiekka t/m3itd, muunnos m3rtd/m3itd)</t>
  </si>
  <si>
    <t>Oletus rakentamisjätteen käsittelyn pohjalta CO2data.fi (keskiarvo)</t>
  </si>
  <si>
    <t>Energiahyödyntämisen päästökerroin</t>
  </si>
  <si>
    <t>Työkoneiden päästökerroin (per käsitelty kuutiometri)</t>
  </si>
  <si>
    <t>Ajoneuvon keskikulutus (per energiayksikkö per 100 km)</t>
  </si>
  <si>
    <t>Massanvaihdon valmistelu- ja puhdistusvaihe</t>
  </si>
  <si>
    <t>Kemikaalien, tuotteiden ja materiaalien kuljetusreitti on mahdollista kuvata enintään neljänä reittisosuutena lähtöpaikasta kohdealueelle (esim. kuljetus rekalla kemikaalin valmistuspaikasta satamaan, merikuljetus autolautalla, kuljetus satamasta rekalla varastoon ja kuorma-autokuljetus varastosta kohdealueelle).</t>
  </si>
  <si>
    <t>Massanvaihdon ja mahdollisen aumakäsittelyn puhdistusvaiheen päättäminen</t>
  </si>
  <si>
    <t xml:space="preserve">Kierrätettävä tai materiaalihyödynnettävä osuus muulla tavoin käsitellystä maa-aineksesta </t>
  </si>
  <si>
    <t xml:space="preserve">Energiahyödynnettävä osuus muulla tavoin käsitellystä maa-aineksesta </t>
  </si>
  <si>
    <t xml:space="preserve">Kierrätettävä osuus muulla tavoin käsitellystä maa-aineksesta </t>
  </si>
  <si>
    <t xml:space="preserve">Kuljetettavan kaluston massa tonneina </t>
  </si>
  <si>
    <t xml:space="preserve">Kaluston kuljetusmatkan pituus yhteen suuntaan kilometreinä </t>
  </si>
  <si>
    <t>Kaivettavan ja muotoiltavan maa-aineksen määrä ja yksikkö (valitse viereisestä alasvetovalikosta)</t>
  </si>
  <si>
    <t>Ajoneuvojen käyttövoima (valitse viereisestä alasvetovalikosta)</t>
  </si>
  <si>
    <t>Puhdistamisen jälkeen tehdyn edestakaisen työasiamatkan pituus kilometreinä</t>
  </si>
  <si>
    <t>Työasiamatkat puhdistamisen jälkeen (tutkimukset, tarkkailut ym.) lukumäärinä vuodessa</t>
  </si>
  <si>
    <t>Puhdistamisen aikana tehdyn edestakaisen työasiamatkan keskipituus kilometreinä</t>
  </si>
  <si>
    <t>Työasiamatkat puhdistamisen aikana (urakointi, työmaavalvonta, kokoukset ym.) lukumäärinä viikossa</t>
  </si>
  <si>
    <t>Ennen puhdistamista tehdyn edestakaisen työasiamatkan keskipituus kilometreinä</t>
  </si>
  <si>
    <t>Työasiamatkat ennen puhdistamista (tutkimukset, tarkkailut ym.) lukumäärinä vuodessa</t>
  </si>
  <si>
    <t>Oletusarvo (0,012 h/m3) perustuu Ratu-kortiston maankaivuun ja kuormauksen arvoon</t>
  </si>
  <si>
    <t>Arvio maankaivuun ja kuormauksen tiedoilla (edellistä vaativampi työskentelyalue) KKH21(h/m3ktr)</t>
  </si>
  <si>
    <t>Bensiinin elinkaarikerroin (kgCO2e/l)</t>
  </si>
  <si>
    <t>Tilastokeskus</t>
  </si>
  <si>
    <t>Puun korjuu, hakkuukone (kgCO2e/m3)</t>
  </si>
  <si>
    <t>Ratu-kortisto, CO2data.fi ja arvio</t>
  </si>
  <si>
    <t>CO2data.fi, Autokalkulaattori, arvio ja Ratu-kortisto</t>
  </si>
  <si>
    <t>Ratu-kortisto ja CO2data.fi</t>
  </si>
  <si>
    <t>Mahdollisten käsittelyssä poistettavien maa-ainesten ja purkumateriaalien kuljetukset pois alueelta</t>
  </si>
  <si>
    <t>Huom. kohteesta poistettavan maa-aineksen hyödyntämisen synnyttämää ilmastohyötyä tarkastellaan hiilijalanjäljen elinkaaritarkastelun ulkopuolisena eränä.</t>
  </si>
  <si>
    <t>Maan kaivu ja muotoilu (valmistelu- ja puhdistusvaihe)</t>
  </si>
  <si>
    <t>Kirjoita tähän työvaiheen nimi 4</t>
  </si>
  <si>
    <t>Vastaanottopaikassa loppusijoitettava puhdistusvaiheen lopussa syntynyt maa-aineksen määrä kiintokuutioina (sijoitukseen tarvittavien työkoneiden päästöjen laskenta)</t>
  </si>
  <si>
    <t>Muulla tavoin vastaanottopaikassa jatkokäsiteltävän maa-aineksen määrä (edellisen kohdan tiedot) kiintokuutioina ja L-sarakkeelle käsittelyn päästökerroin (oletusarvona rakentamisen jätteiden käsittelyn keskiarvo)</t>
  </si>
  <si>
    <t>Poistettujen kertakäyttöisten rakenteiden ja materiaalien jatkokäsittely (pl. maa-ainekset)</t>
  </si>
  <si>
    <t>Kierrätysmateriaali</t>
  </si>
  <si>
    <t>Tuotteen tai materiaalin määrä annetuissa yksiköissä</t>
  </si>
  <si>
    <t>Jos tarvittavan energian määrä voidaan arvioida (ensisijainen laskentatapa)</t>
  </si>
  <si>
    <t>Käytetty energialähde (valitse viereisestä alasvetovalikosta)</t>
  </si>
  <si>
    <t>Pumppujen käyttämä energialähde (valitse viereisestä alasvetovalikosta)</t>
  </si>
  <si>
    <t>Yhteenlaskettu teho watteina</t>
  </si>
  <si>
    <t>Jos tarvittu teho voidaan arvioida (toissijainen laskentatapa)</t>
  </si>
  <si>
    <t>Energiankulutus käytön aikana ja yksikkö joko kilowattitunteina tai litroina (valitse viereisestä alasvetovalikosta)</t>
  </si>
  <si>
    <t>Termisen käsittelyn valmistelu- ja puhdistusvaihe</t>
  </si>
  <si>
    <t>Huokosilmakäsittelyn valmistelu- ja puhdistusvaihe</t>
  </si>
  <si>
    <t>Fytoremediaation valmistelu- ja puhdistusvaihe</t>
  </si>
  <si>
    <t>Valmisteluvaiheessa tarvittavat työkoneet</t>
  </si>
  <si>
    <t>Käsittelyssä käytettävien kasvien, kemikaalien ja kertakäyttöisten tuotteiden ja materiaalien valmistus</t>
  </si>
  <si>
    <t>Kasvi-, kemikaali-, tuote- tai materiaalilaji 1</t>
  </si>
  <si>
    <t>Kasvi-, kemikaali-, tuote- tai materiaalilaji 2</t>
  </si>
  <si>
    <t>Kasvi-, kemikaali-, tuote- tai materiaalilaji 3</t>
  </si>
  <si>
    <t>Kasvi-, kemikaali-, tuote- tai materiaalilaji 4</t>
  </si>
  <si>
    <t>Kasvi-, kemikaali-, tuote- tai materiaalilaji 5</t>
  </si>
  <si>
    <t>Puhdistuksen päättämisen jälkeinen valvontavaihe</t>
  </si>
  <si>
    <t>Kertoimet: Materiaalit</t>
  </si>
  <si>
    <t>Ei tässä laskurissa</t>
  </si>
  <si>
    <t>Kertoimet: Kalusto</t>
  </si>
  <si>
    <t>Kertoimet: Muut</t>
  </si>
  <si>
    <t>Oletus polttoöljyn perusteella</t>
  </si>
  <si>
    <t>Pudotusvalikot</t>
  </si>
  <si>
    <t>Diesel-hybridi-osuus</t>
  </si>
  <si>
    <t>Arvio maankaivuun ja kuormauksen tiedoilla KKH21(h/m3itd ja muunnos m3ktr:ksi)</t>
  </si>
  <si>
    <t>Injektointien valmistelu- ja puhdistusvaihe</t>
  </si>
  <si>
    <t>Mahdolliset poistettavia maa-aineksia korvaavien maa-ainesten määrä</t>
  </si>
  <si>
    <t>Työasiamatkat (pl. puhdistuksen päättymisen jälkeinen seurantavaihe)</t>
  </si>
  <si>
    <t>Työasiamatkat puhdistuksen päättämisen jälkeisessä valvontavaiheessa</t>
  </si>
  <si>
    <t>Kaluston tuonti</t>
  </si>
  <si>
    <t>Kaluston vienti</t>
  </si>
  <si>
    <t>Asfaltin poisto</t>
  </si>
  <si>
    <t>Puuston poisto (hiilivaraston muutos)</t>
  </si>
  <si>
    <t>LULUCF-päästöt</t>
  </si>
  <si>
    <t>Puuston poisto (työkoneet)</t>
  </si>
  <si>
    <t>Valmistelu- ja puhdistusvaihe</t>
  </si>
  <si>
    <t xml:space="preserve">Muut asennus- ja valmisteluvaiheen työkoneita tarvitsevat työosuudet </t>
  </si>
  <si>
    <t>Siirtoajot</t>
  </si>
  <si>
    <t>Siirtoajojen päästöt</t>
  </si>
  <si>
    <t>Viemäröity vesi</t>
  </si>
  <si>
    <t>Puhdistus</t>
  </si>
  <si>
    <t>Seuranta</t>
  </si>
  <si>
    <t>Ilmastohyödyt</t>
  </si>
  <si>
    <t>Hiilijalanjälki yhteensä</t>
  </si>
  <si>
    <t>Huomiot ja muistiinpanot</t>
  </si>
  <si>
    <t>Mahdolliset täytöt ja muu korvaavien maa-ainesten käyttö alueella</t>
  </si>
  <si>
    <t>Eristäminen</t>
  </si>
  <si>
    <t>Eristämisen valmistelu- ja puhdistusvaihe</t>
  </si>
  <si>
    <t>Eristäminen:</t>
  </si>
  <si>
    <t>Käytettävät kertakäyttöiset tuotteet tai materiaalit</t>
  </si>
  <si>
    <t>Käytettävien kemikaalien, tuotteiden ja materiaalien kuljetukset alueelle</t>
  </si>
  <si>
    <t>Muu työkoneiden käyttö (rammerointi, tiivistykset ym.)</t>
  </si>
  <si>
    <t>Valvontavaihe</t>
  </si>
  <si>
    <t>Päättämisvaihe</t>
  </si>
  <si>
    <t>Materiaalit</t>
  </si>
  <si>
    <t>Työkoneet</t>
  </si>
  <si>
    <t>Puhdistuksen energiankäyttö</t>
  </si>
  <si>
    <t>Jätteiden käsittely</t>
  </si>
  <si>
    <t>Osuus hiilijalanjäljestä  (%)</t>
  </si>
  <si>
    <t>Maankäytön ja maankäytön muutoksen päästöt (LULUCF)</t>
  </si>
  <si>
    <t>Biopohjaiset (biogeeniset) päästöt</t>
  </si>
  <si>
    <t>Ei huomioida</t>
  </si>
  <si>
    <t>Jätteet</t>
  </si>
  <si>
    <t>Muut päästölähteet</t>
  </si>
  <si>
    <t>Puhdistusvaihe</t>
  </si>
  <si>
    <t>Seurantavaihe</t>
  </si>
  <si>
    <t>Maankäyttö ja maankäytön muutos</t>
  </si>
  <si>
    <t>Yhteensä</t>
  </si>
  <si>
    <t>Palaako kuljetusväline tyhjänä takaisin lähtöpaikkaan? Valitse viereisen solun alasvetovalikosta Kyllä- tai Ei-vastaus. Tämä oletus koskee yksinkertaisuuden vuoksi kaikkia yllä olevia kuljetuksia sekä alueelle kalustoa tuotaessa että niitä alueelta pois vietäessä.</t>
  </si>
  <si>
    <t>Käsittelyssä poistetun maa-aineksen käsittely kohteen ulkopuolella (ilmastohyödyt)</t>
  </si>
  <si>
    <t>Massanvaihto</t>
  </si>
  <si>
    <t>Poistettujen kertakäyttöisten rakenteiden ja materiaalien jatkokäsittely (pl. maa-ainekset) (ilmastohyödyt)</t>
  </si>
  <si>
    <t>Poistetun maan jatkokäsittely vastaanottopaikassa (ilmastohyödyt)</t>
  </si>
  <si>
    <t>Päästösvaihe</t>
  </si>
  <si>
    <t>Valmistelu- ja päätösvaihe</t>
  </si>
  <si>
    <t>Käsittelyssä käytettävät kertakäyttöiset kemikaalit, tuotteet tai materiaalit</t>
  </si>
  <si>
    <t>Mahdollisten käsittelyssä poistettavien maa-ainesten ja purkumateriaalien kuljetukset</t>
  </si>
  <si>
    <t>Huom. laskentatyökalu ei huomioi kasvien mahdollisesta polttamisesta aiheutuvia biopohjaisia päästöjä.</t>
  </si>
  <si>
    <t>Muut (ml. vesien viemäröinti ja työasiamatkat)</t>
  </si>
  <si>
    <t>Nettomääräiset ilmastohyödyt</t>
  </si>
  <si>
    <t>Kokonais-
päästöt</t>
  </si>
  <si>
    <t>Maankäytön ja maankäytön muutoksen päästöt</t>
  </si>
  <si>
    <r>
      <t>m</t>
    </r>
    <r>
      <rPr>
        <vertAlign val="superscript"/>
        <sz val="12"/>
        <color theme="1"/>
        <rFont val="Arial"/>
        <family val="2"/>
        <scheme val="minor"/>
      </rPr>
      <t>3</t>
    </r>
    <r>
      <rPr>
        <sz val="12"/>
        <color theme="1"/>
        <rFont val="Arial"/>
        <family val="2"/>
        <scheme val="minor"/>
      </rPr>
      <t>ktr</t>
    </r>
  </si>
  <si>
    <t>Kaivettava määrä (oletusarvoisesti koko kaivettava määrä)</t>
  </si>
  <si>
    <r>
      <t>m</t>
    </r>
    <r>
      <rPr>
        <sz val="11"/>
        <color theme="1"/>
        <rFont val="Arial"/>
        <family val="2"/>
        <scheme val="minor"/>
      </rPr>
      <t>3ktr</t>
    </r>
  </si>
  <si>
    <r>
      <t>m</t>
    </r>
    <r>
      <rPr>
        <sz val="11"/>
        <color theme="1"/>
        <rFont val="Arial"/>
        <family val="2"/>
        <scheme val="minor"/>
      </rPr>
      <t>3/h</t>
    </r>
  </si>
  <si>
    <r>
      <t>m</t>
    </r>
    <r>
      <rPr>
        <sz val="11"/>
        <color theme="1"/>
        <rFont val="Arial"/>
        <family val="2"/>
        <scheme val="minor"/>
      </rPr>
      <t>3rtr</t>
    </r>
  </si>
  <si>
    <r>
      <t>h/m</t>
    </r>
    <r>
      <rPr>
        <sz val="11"/>
        <color theme="1"/>
        <rFont val="Arial"/>
        <family val="2"/>
        <scheme val="minor"/>
      </rPr>
      <t>3</t>
    </r>
  </si>
  <si>
    <r>
      <t>m</t>
    </r>
    <r>
      <rPr>
        <sz val="11"/>
        <color theme="1"/>
        <rFont val="Arial"/>
        <family val="2"/>
        <scheme val="minor"/>
      </rPr>
      <t>3itd</t>
    </r>
  </si>
  <si>
    <r>
      <t>m</t>
    </r>
    <r>
      <rPr>
        <sz val="11"/>
        <color theme="1"/>
        <rFont val="Arial"/>
        <family val="2"/>
        <scheme val="minor"/>
      </rPr>
      <t>3</t>
    </r>
  </si>
  <si>
    <r>
      <t>m</t>
    </r>
    <r>
      <rPr>
        <sz val="11"/>
        <color theme="1"/>
        <rFont val="Arial"/>
        <family val="2"/>
        <scheme val="minor"/>
      </rPr>
      <t>2</t>
    </r>
  </si>
  <si>
    <t>Käsiteltävä määrä kiintokuutioina</t>
  </si>
  <si>
    <t>Työssä tarvittavien työkoneiden ja muun työmaakaluston kuljetus alueelle sekä niiden kuljetus alueelta pois käsittelyn päättyessä</t>
  </si>
  <si>
    <t>Muut käsittelyyn liittyvät työkoneita vaativat työt (esim. rammeroinnit ja tiivistykset)</t>
  </si>
  <si>
    <t>Työssä poistetun maa-aineksen käsittely kohteen ulkopuolella</t>
  </si>
  <si>
    <t>Työssä poistettavien maa-ainesten ja purkumateriaalien kuljetukset</t>
  </si>
  <si>
    <t>Työtä varten tehtävät puuston, asfalttipintojen  tai rakenteiden poisto</t>
  </si>
  <si>
    <t>Kohteen pinta-ala ja massamäärä täytetään Kohdetiedot ja yhteenveto -välilehdelle. Täytä pinta-ala ja massamäärä huolellisesti, sillä solujen tietoja käytetään menetelmäkohtaisiin laskelmiin.</t>
  </si>
  <si>
    <t>Yhteenveto tuloksista</t>
  </si>
  <si>
    <t>Tulokset haetaan automaattisesti laskentavälilehdiltä. Ylimääräiset rivit ja sarakkeet voi halutessaan piilottaa.</t>
  </si>
  <si>
    <t>Solut on merkitty seuraavasti:</t>
  </si>
  <si>
    <t>Tarvittaessa muokattava solu (esim. muuntokertoimet, omat päästökertoimet)</t>
  </si>
  <si>
    <t>Laskentasolu, ei muokata</t>
  </si>
  <si>
    <t>Lähtötiedot syötetään ensisijaisesti sarakkeiden B-G soluihin. Sarakkeissa K-L on mahdollisuus syöttää oma päästökerroin, jos sellainen on tiedossa. Sarakkeeseen O merkitään omat muistiinpanot, kuten perusteet lähtötietojen valinnalle. Laskenta tapahtuu soluissa Q-&gt;, joita käyttäjän ei ole tarkoitus muokata.</t>
  </si>
  <si>
    <t>Laskentavälilehdillä on pyritty huomioimaan työssä tarvittavat erilaiset työkoneet ja materiaalit sekä erilaiset maa-ainekset, joita voidaan toimittaa eri vastaanottopaikkoihin.  Ylimääräiset rivit voi halutessaan piilottaa.</t>
  </si>
  <si>
    <t>3. Päästökertoimet</t>
  </si>
  <si>
    <t>4. Pudotusvalikot</t>
  </si>
  <si>
    <t>Päästökerrointen välilehdillä (Materiaalit, Kalusto, Muut) on esitetty erilaisten materiaalien, kaluston sekä muiden mahdollisten tekijöiden päästökertoimet ja niiden lähteet. Päästökertoimia on mahdollista päivittää uuden tutkimustiedon perusteella.</t>
  </si>
  <si>
    <t>Yksityiskohtaisia ohjeita on esitetty laskentavälilehdillä syöttösolujen yhteydessä sekä sinisillä otsikkoriveillä olevissa muistiinpanoissa.</t>
  </si>
  <si>
    <t>Viimeisellä välilehdellä sijaitsevat laskentavälilehtien pudotusvalikoissa käytetyt asiat. Välilehden muokkaaminen ei ole suositeltavaa ilman edistynyttä Excel-osaamista, sillä mm. käytettävät yksiköt haetaan laskentaan niiden sisällön perusteella.</t>
  </si>
  <si>
    <t>Ohje ja esittely</t>
  </si>
  <si>
    <t>PIIP-laskentatyökalu on tehty Pirkanmaan ELY-keskuksen tilaaman kehityshankkeen yhteydessä. Sen tarkoituksena on mahdollistaa puhdistettavan kohteen ominaisuuksiin ja puhdistustavoitteisiin sopiviem puhdistusmenetelmien ilmastopäästöjen vertailu. Työkalulla voidaan havainnollistaa puhdistusmenetelmän ilmastovaikutusten suuruusluokkia ja päästöjen vähentämismahdollisuuksia. Työkalu keskittyy varsinaiseen puhdistusprosessiin. Sen ulkopuolelle on jätetty kohdekartoitus ja -tutkimukset, riskinarviointi sekä puhdistussuunnittelu. Tarkastelun ulkopuolelle on jätetty myös hiilijalanjäljen näkökulmasta vähämerkityksellisiksi arvioituja päästölähteitä. Työkalun käyttö vaatii jonkun verran tietämystä puhdistusmenetelmistä. Hiilijalanjäljen osalta riittää tietämys sen laskennan periaatteista.</t>
  </si>
  <si>
    <t>Kohdetiedot ja yhteenveto</t>
  </si>
  <si>
    <t>Tulostaminen</t>
  </si>
  <si>
    <t>PIIP-laskentatyökalu</t>
  </si>
  <si>
    <t xml:space="preserve">Palaute ja kehitysehdotukset: </t>
  </si>
  <si>
    <t>Palautetta ja kehitysehdotuksia voi lähettää osoitteeseen maaperakuntoon@ely-keskus.fi</t>
  </si>
  <si>
    <t>Oletusarvo (0,012 h/m3) perustuu Ratu-kortiston maankaivun ja kuormauksen arvoon</t>
  </si>
  <si>
    <t>Päästöt suhteessa puhdistet-tavaan määrään</t>
  </si>
  <si>
    <t>Eristettävä alue (% kokonaispinta-alasta)</t>
  </si>
  <si>
    <t>Puhdistuksen energiankäyttö
(muut kuin työkoneet)</t>
  </si>
  <si>
    <t>Kohteen tiedot</t>
  </si>
  <si>
    <t>Osuus
kokonai-
suudesta
Maaperä</t>
  </si>
  <si>
    <t>Osuus
kokonai-
suudesta
Pohjavesi</t>
  </si>
  <si>
    <t>-</t>
  </si>
  <si>
    <t>Valitse viereisestä alasvetovalikosta sopiva vaihtoehto; jos sopivaa vaihtoehtoa ei valikosta löydy, määrittele L-sarakkeessa kemikaalille, tuotteelle tai materiaalille sopiva päästökerroin muodossa kgCO2/yksikkö tai kgCO2e/yksikkö</t>
  </si>
  <si>
    <t>Valitse viereisestä alasvetovalikosta sopiva vaihtoehto; jos sopivaa vaihtoehtoa ei valikosta löydy, määrittele L-sarakkeessa kemikaalille, tuotteelle tai materiaalille oma päästökerroin muodossa kgCO2/yksikkö tai kgCO2e/yksikkö</t>
  </si>
  <si>
    <t>Kohdealueelle päätyvän reittiosuuden kuljetustapa</t>
  </si>
  <si>
    <t>kohdealueelle päätyvän reittiosuuden kuljetustapa</t>
  </si>
  <si>
    <t>Jos tunnistettavia kuljetusosuuksia on vain yksi kuten esim. kuljetus kotimaiselta varastolta kohdealueelle, voi alasvetovalikosta valita tarkemman kuvauksen tiekuljetuksessa käytettävästä kuljetusvälineestä (kohdealueelle päätyvän reittiosuuden kuljetustapa -kohta). Useamman reittiosuuden sisältävän kuljetuksen tapauksessa on viimeiselle, kohdealueelle päätyvälle kuljetusosuudelle mahdollista valita tarkempi kuljetusvälinekuvaus (kohdealueelle päätyvän reittiosuuden kuljetustapa -kohta).</t>
  </si>
  <si>
    <t>Kuljetukset summa</t>
  </si>
  <si>
    <t>Työkoneet summa</t>
  </si>
  <si>
    <t>Muut päästölähteet summa</t>
  </si>
  <si>
    <t>Puhdistuksen päättämisen jälkeinen tarkkailu</t>
  </si>
  <si>
    <t>Työasiamatkat (massanvaihto pl. tarkkailu)</t>
  </si>
  <si>
    <t>Massanvaihdossa käytettävien materiaalien kuljetukset alueelle</t>
  </si>
  <si>
    <t>Massanvaihdossa käytettävien kertakäyttöisten materiaalien valmistus</t>
  </si>
  <si>
    <t>Aumakäsittelyssä tarvittavien työkoneiden ja muun työmaakaluston kuljetus alueelle sekä niiden kuljetus alueelta pois käsittelyn päättyessä</t>
  </si>
  <si>
    <t>Aumakäsittelyssä käytettävien kemikaalien ja kertakäyttöisten materiaalien valmistus</t>
  </si>
  <si>
    <t>Aumakäsittelyssä käytettävien kemikaalien, tuotteiden ja materiaalien kuljetukset alueelle</t>
  </si>
  <si>
    <t>Aumakäsittelyn työasiamatkat</t>
  </si>
  <si>
    <t>Kuvaajin on esitetty eri puhdistusmenetelmien kokonaispäästöt sekä päästölähteiden jakauma, jossa on huomioitu kaikki tarkastellut puhdistusemenetelmät.</t>
  </si>
  <si>
    <t>Puhdistettavan alueen laajuus ja massamäärä syötetään osuutena kokonaisuudesta. Näin voidaan joko vertailla eri menetelmien käyttöä samassa kohteessa (aseta kaikkien arvioitavien menetelmien välilehdelle 100 %) TAI arvioida puhdistuksen ilmastovaikutusta, jos kohteessa käytetään useita eri menetelmiä (aseta arvio menetelmällä puhdistettavasta määrästä).</t>
  </si>
  <si>
    <t>Kohdetiedot ja yhteenveto -välilehden sekä menetelmien laskentojen välilehtien sivuasetukset on asetettu tulostusystävällisiksi (vaakasuuntainen A4). Sivuvaihtoja on suositeltavaa muokata, kun tarpeettomat rivit on piilotettu.</t>
  </si>
  <si>
    <t xml:space="preserve">Laskentavälilehdet on tehty puhdistusmenetelmäkohtaisesti. </t>
  </si>
  <si>
    <t>Poistettavien rakenteiden ja puhdistukseen päättämiseen liittyvien materiaalien kuljetukset</t>
  </si>
  <si>
    <t>Kaivettavan maa-aineksen määrä (% kokonaismäärästä)</t>
  </si>
  <si>
    <t>Käsiteltävän maa-aineksen määrä (% kokonaismäärästä)</t>
  </si>
  <si>
    <t>Käsiteltävän pohjaveden määrä (% kokonaismäärästä)</t>
  </si>
  <si>
    <t>Käsiteltävän maa-aineksen (% kokonaismäärästä)</t>
  </si>
  <si>
    <t>Puhdistettavan maa-aineksen määrä (% kokonaismäärästä)</t>
  </si>
  <si>
    <t>Käsiteltävän maa-aineksen määrä (edellisen kohdan tiedot) (% kokonaismäärästä)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</si>
</sst>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3" formatCode="_-* #,##0.00_-;\-* #,##0.00_-;_-* &quot;-&quot;??_-;_-@_-"/>
    <numFmt numFmtId="164" formatCode="0.0"/>
    <numFmt numFmtId="165" formatCode="0.000"/>
    <numFmt numFmtId="166" formatCode="#,##0.000"/>
    <numFmt numFmtId="167" formatCode="0.0000"/>
    <numFmt numFmtId="168" formatCode="#,##0.0"/>
  </numFmts>
  <fonts count="32" x14ac:knownFonts="1">
    <font>
      <sz val="11"/>
      <color theme="1"/>
      <name val="Arial"/>
      <family val="2"/>
      <scheme val="minor"/>
    </font>
    <font>
      <sz val="8"/>
      <name val="Arial"/>
      <family val="2"/>
      <scheme val="minor"/>
    </font>
    <font>
      <sz val="11"/>
      <color theme="1"/>
      <name val="Arial"/>
      <family val="2"/>
      <scheme val="minor"/>
    </font>
    <font>
      <b/>
      <sz val="11"/>
      <color theme="1"/>
      <name val="Arial"/>
      <family val="2"/>
      <scheme val="minor"/>
    </font>
    <font>
      <b/>
      <sz val="12"/>
      <color theme="1"/>
      <name val="Arial"/>
      <family val="2"/>
      <scheme val="minor"/>
    </font>
    <font>
      <vertAlign val="superscript"/>
      <sz val="11"/>
      <color theme="1"/>
      <name val="Arial"/>
      <family val="2"/>
      <scheme val="minor"/>
    </font>
    <font>
      <b/>
      <sz val="24"/>
      <color theme="1"/>
      <name val="Arial"/>
      <family val="2"/>
      <scheme val="minor"/>
    </font>
    <font>
      <u/>
      <sz val="11"/>
      <color theme="10"/>
      <name val="Arial"/>
      <family val="2"/>
      <scheme val="minor"/>
    </font>
    <font>
      <sz val="11"/>
      <color theme="0" tint="-0.499984740745262"/>
      <name val="Arial"/>
      <family val="2"/>
      <scheme val="minor"/>
    </font>
    <font>
      <sz val="24"/>
      <color theme="1"/>
      <name val="Arial"/>
      <family val="2"/>
      <scheme val="minor"/>
    </font>
    <font>
      <sz val="24"/>
      <color theme="0" tint="-0.499984740745262"/>
      <name val="Arial"/>
      <family val="2"/>
      <scheme val="minor"/>
    </font>
    <font>
      <b/>
      <sz val="14"/>
      <color theme="1"/>
      <name val="Arial"/>
      <family val="2"/>
      <scheme val="minor"/>
    </font>
    <font>
      <sz val="12"/>
      <color theme="1"/>
      <name val="Arial"/>
      <family val="2"/>
      <scheme val="minor"/>
    </font>
    <font>
      <sz val="12"/>
      <color theme="0" tint="-0.499984740745262"/>
      <name val="Arial"/>
      <family val="2"/>
      <scheme val="minor"/>
    </font>
    <font>
      <sz val="12"/>
      <color theme="0" tint="-0.499984740745262"/>
      <name val="Wingdings 3"/>
      <family val="1"/>
      <charset val="2"/>
    </font>
    <font>
      <i/>
      <sz val="12"/>
      <color theme="0" tint="-0.499984740745262"/>
      <name val="Arial"/>
      <family val="2"/>
      <scheme val="minor"/>
    </font>
    <font>
      <i/>
      <sz val="12"/>
      <color theme="1"/>
      <name val="Arial"/>
      <family val="2"/>
      <scheme val="minor"/>
    </font>
    <font>
      <sz val="12"/>
      <color theme="0"/>
      <name val="Arial"/>
      <family val="2"/>
      <scheme val="minor"/>
    </font>
    <font>
      <sz val="12"/>
      <color theme="0" tint="-0.249977111117893"/>
      <name val="Arial"/>
      <family val="2"/>
      <scheme val="minor"/>
    </font>
    <font>
      <b/>
      <sz val="11"/>
      <name val="Arial"/>
      <family val="2"/>
      <scheme val="minor"/>
    </font>
    <font>
      <sz val="11"/>
      <name val="Arial"/>
      <family val="2"/>
      <scheme val="minor"/>
    </font>
    <font>
      <u/>
      <sz val="12"/>
      <color theme="10"/>
      <name val="Arial"/>
      <family val="2"/>
      <scheme val="minor"/>
    </font>
    <font>
      <sz val="18"/>
      <color theme="1"/>
      <name val="Arial"/>
      <family val="2"/>
      <scheme val="minor"/>
    </font>
    <font>
      <b/>
      <sz val="18"/>
      <color theme="1"/>
      <name val="Arial"/>
      <family val="2"/>
      <scheme val="minor"/>
    </font>
    <font>
      <sz val="18"/>
      <color theme="0" tint="-0.499984740745262"/>
      <name val="Arial"/>
      <family val="2"/>
      <scheme val="minor"/>
    </font>
    <font>
      <i/>
      <sz val="11"/>
      <color theme="1"/>
      <name val="Arial"/>
      <family val="2"/>
      <scheme val="minor"/>
    </font>
    <font>
      <i/>
      <sz val="11"/>
      <color theme="0" tint="-0.499984740745262"/>
      <name val="Arial"/>
      <family val="2"/>
      <scheme val="minor"/>
    </font>
    <font>
      <i/>
      <sz val="24"/>
      <color theme="1"/>
      <name val="Arial"/>
      <family val="2"/>
      <scheme val="minor"/>
    </font>
    <font>
      <i/>
      <sz val="18"/>
      <color theme="1"/>
      <name val="Arial"/>
      <family val="2"/>
      <scheme val="minor"/>
    </font>
    <font>
      <vertAlign val="superscript"/>
      <sz val="12"/>
      <color theme="1"/>
      <name val="Arial"/>
      <family val="2"/>
      <scheme val="minor"/>
    </font>
    <font>
      <sz val="9"/>
      <color indexed="81"/>
      <name val="Tahoma"/>
      <family val="2"/>
    </font>
    <font>
      <b/>
      <sz val="11"/>
      <color theme="0" tint="-0.499984740745262"/>
      <name val="Arial"/>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2"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BDEEFF"/>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Dashed">
        <color auto="1"/>
      </left>
      <right/>
      <top/>
      <bottom/>
      <diagonal/>
    </border>
    <border>
      <left style="thin">
        <color indexed="64"/>
      </left>
      <right/>
      <top/>
      <bottom style="thin">
        <color indexed="64"/>
      </bottom>
      <diagonal/>
    </border>
    <border>
      <left/>
      <right style="mediumDashed">
        <color auto="1"/>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ed">
        <color theme="0" tint="-0.499984740745262"/>
      </left>
      <right style="mediumDashed">
        <color theme="0" tint="-0.499984740745262"/>
      </right>
      <top style="mediumDashed">
        <color theme="0" tint="-0.499984740745262"/>
      </top>
      <bottom style="mediumDashed">
        <color theme="0" tint="-0.499984740745262"/>
      </bottom>
      <diagonal/>
    </border>
    <border>
      <left style="thin">
        <color indexed="64"/>
      </left>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400">
    <xf numFmtId="0" fontId="0" fillId="0" borderId="0" xfId="0"/>
    <xf numFmtId="0" fontId="0" fillId="0" borderId="0" xfId="0" applyAlignment="1">
      <alignment horizontal="right"/>
    </xf>
    <xf numFmtId="0" fontId="0" fillId="0" borderId="0" xfId="0" applyAlignment="1">
      <alignment horizontal="right" wrapText="1"/>
    </xf>
    <xf numFmtId="0" fontId="3" fillId="0" borderId="0" xfId="0" applyFont="1"/>
    <xf numFmtId="0" fontId="4" fillId="0" borderId="0" xfId="0" applyFont="1" applyAlignment="1">
      <alignment horizontal="right"/>
    </xf>
    <xf numFmtId="0" fontId="0" fillId="0" borderId="0" xfId="0" applyAlignment="1">
      <alignment vertical="center"/>
    </xf>
    <xf numFmtId="0" fontId="0" fillId="0" borderId="0" xfId="0" applyAlignment="1">
      <alignment horizontal="centerContinuous"/>
    </xf>
    <xf numFmtId="0" fontId="0" fillId="2" borderId="1" xfId="0" applyFill="1" applyBorder="1"/>
    <xf numFmtId="0" fontId="6" fillId="0" borderId="0" xfId="0" applyFont="1" applyAlignment="1">
      <alignment vertical="center"/>
    </xf>
    <xf numFmtId="0" fontId="4" fillId="0" borderId="0" xfId="0" applyFont="1" applyAlignment="1">
      <alignment vertical="center"/>
    </xf>
    <xf numFmtId="0" fontId="7" fillId="0" borderId="0" xfId="3"/>
    <xf numFmtId="0" fontId="0" fillId="5" borderId="0" xfId="0" applyFill="1"/>
    <xf numFmtId="0" fontId="3" fillId="5" borderId="0" xfId="0" applyFont="1" applyFill="1"/>
    <xf numFmtId="0" fontId="0" fillId="0" borderId="0" xfId="0" applyAlignment="1">
      <alignment horizontal="center" vertical="center"/>
    </xf>
    <xf numFmtId="0" fontId="0" fillId="0" borderId="0" xfId="0" applyAlignment="1">
      <alignment horizontal="left" vertical="top"/>
    </xf>
    <xf numFmtId="0" fontId="0" fillId="0" borderId="0" xfId="0"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right" vertical="top" wrapText="1"/>
    </xf>
    <xf numFmtId="0" fontId="7" fillId="0" borderId="0" xfId="3" applyAlignment="1">
      <alignment horizontal="left" vertical="top"/>
    </xf>
    <xf numFmtId="165" fontId="0" fillId="0" borderId="0" xfId="0" applyNumberFormat="1" applyAlignment="1">
      <alignment horizontal="center" vertical="top"/>
    </xf>
    <xf numFmtId="0" fontId="8" fillId="5" borderId="0" xfId="0" applyFont="1" applyFill="1" applyAlignment="1">
      <alignment horizontal="center" vertical="center"/>
    </xf>
    <xf numFmtId="0" fontId="8" fillId="5" borderId="0" xfId="0" applyFont="1" applyFill="1" applyAlignment="1">
      <alignment vertical="center"/>
    </xf>
    <xf numFmtId="0" fontId="8" fillId="5" borderId="11" xfId="0" applyFont="1" applyFill="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0" fillId="5" borderId="11" xfId="0" applyFont="1" applyFill="1" applyBorder="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12" fillId="0" borderId="0" xfId="0" applyFont="1" applyAlignment="1">
      <alignment vertical="center"/>
    </xf>
    <xf numFmtId="0" fontId="12" fillId="0" borderId="0" xfId="0" applyFont="1"/>
    <xf numFmtId="0" fontId="12" fillId="0" borderId="0" xfId="0" applyFont="1" applyAlignment="1">
      <alignment horizontal="right" vertical="center"/>
    </xf>
    <xf numFmtId="0" fontId="12" fillId="0" borderId="0" xfId="0" applyFont="1" applyAlignment="1">
      <alignment horizontal="center" vertical="center"/>
    </xf>
    <xf numFmtId="0" fontId="13" fillId="5" borderId="11" xfId="0" applyFont="1" applyFill="1" applyBorder="1" applyAlignment="1">
      <alignment vertical="center"/>
    </xf>
    <xf numFmtId="0" fontId="13" fillId="5" borderId="0" xfId="0" applyFont="1" applyFill="1" applyAlignment="1">
      <alignment horizontal="center" vertical="center"/>
    </xf>
    <xf numFmtId="0" fontId="13" fillId="5" borderId="0" xfId="0" applyFont="1" applyFill="1" applyAlignment="1">
      <alignment vertical="center"/>
    </xf>
    <xf numFmtId="0" fontId="12" fillId="0" borderId="0" xfId="0" applyFont="1" applyAlignment="1">
      <alignment horizontal="center" vertical="center" wrapText="1"/>
    </xf>
    <xf numFmtId="0" fontId="12" fillId="0" borderId="0" xfId="0" applyFont="1" applyAlignment="1">
      <alignment horizontal="left" indent="1"/>
    </xf>
    <xf numFmtId="165" fontId="12" fillId="2" borderId="1" xfId="0" applyNumberFormat="1" applyFont="1" applyFill="1" applyBorder="1" applyAlignment="1">
      <alignment horizontal="center" vertical="center"/>
    </xf>
    <xf numFmtId="165" fontId="12" fillId="0" borderId="0" xfId="0" applyNumberFormat="1" applyFont="1" applyAlignment="1">
      <alignment horizontal="left" vertical="center"/>
    </xf>
    <xf numFmtId="165" fontId="12" fillId="0" borderId="0" xfId="0" applyNumberFormat="1" applyFont="1" applyAlignment="1">
      <alignment horizontal="center" vertical="center"/>
    </xf>
    <xf numFmtId="9" fontId="13" fillId="5" borderId="0" xfId="2" applyFont="1" applyFill="1" applyAlignment="1">
      <alignment horizontal="center" vertical="center"/>
    </xf>
    <xf numFmtId="0" fontId="13" fillId="5" borderId="0" xfId="0" applyFont="1" applyFill="1" applyAlignment="1">
      <alignment horizontal="center" vertical="center" wrapText="1"/>
    </xf>
    <xf numFmtId="0" fontId="12" fillId="0" borderId="0" xfId="0" applyFont="1" applyAlignment="1">
      <alignment horizontal="left" vertical="center" indent="2"/>
    </xf>
    <xf numFmtId="0" fontId="14" fillId="5" borderId="7" xfId="0" applyFont="1" applyFill="1" applyBorder="1" applyAlignment="1">
      <alignment horizontal="left" vertical="center"/>
    </xf>
    <xf numFmtId="3" fontId="13" fillId="5" borderId="11" xfId="0" applyNumberFormat="1" applyFont="1" applyFill="1" applyBorder="1" applyAlignment="1">
      <alignment horizontal="right" vertical="center" indent="1"/>
    </xf>
    <xf numFmtId="0" fontId="13" fillId="5" borderId="1" xfId="0" applyFont="1" applyFill="1" applyBorder="1" applyAlignment="1">
      <alignment horizontal="center" vertical="center"/>
    </xf>
    <xf numFmtId="9" fontId="13" fillId="5" borderId="1" xfId="2" applyFont="1" applyFill="1" applyBorder="1" applyAlignment="1">
      <alignment horizontal="center" vertical="center"/>
    </xf>
    <xf numFmtId="3" fontId="13" fillId="5" borderId="1" xfId="0" applyNumberFormat="1" applyFont="1" applyFill="1" applyBorder="1" applyAlignment="1">
      <alignment horizontal="center" vertical="center"/>
    </xf>
    <xf numFmtId="166" fontId="13" fillId="5" borderId="1" xfId="0" applyNumberFormat="1" applyFont="1" applyFill="1" applyBorder="1" applyAlignment="1">
      <alignment horizontal="center" vertical="center"/>
    </xf>
    <xf numFmtId="0" fontId="13" fillId="5" borderId="11" xfId="0" applyFont="1" applyFill="1" applyBorder="1" applyAlignment="1">
      <alignment horizontal="right" vertical="center" indent="1"/>
    </xf>
    <xf numFmtId="0" fontId="12" fillId="0" borderId="0" xfId="0" applyFont="1" applyAlignment="1">
      <alignment horizontal="right" vertical="center" indent="1"/>
    </xf>
    <xf numFmtId="0" fontId="12" fillId="0" borderId="0" xfId="0" applyFont="1" applyAlignment="1">
      <alignment horizontal="left" vertical="center" indent="1"/>
    </xf>
    <xf numFmtId="0" fontId="13" fillId="0" borderId="0" xfId="0" applyFont="1" applyAlignment="1">
      <alignment horizontal="center" vertical="center"/>
    </xf>
    <xf numFmtId="0" fontId="13" fillId="0" borderId="0" xfId="0" applyFont="1" applyAlignment="1">
      <alignment vertical="center"/>
    </xf>
    <xf numFmtId="0" fontId="12" fillId="0" borderId="10" xfId="0" applyFont="1" applyBorder="1" applyAlignment="1">
      <alignment vertical="center"/>
    </xf>
    <xf numFmtId="0" fontId="12" fillId="0" borderId="0" xfId="0" quotePrefix="1" applyFont="1" applyAlignment="1">
      <alignment vertical="center"/>
    </xf>
    <xf numFmtId="0" fontId="14" fillId="0" borderId="0" xfId="0" applyFont="1" applyAlignment="1">
      <alignment horizontal="left" vertical="center"/>
    </xf>
    <xf numFmtId="2" fontId="12" fillId="0" borderId="0" xfId="0" applyNumberFormat="1" applyFont="1" applyAlignment="1">
      <alignment horizontal="center" vertical="center"/>
    </xf>
    <xf numFmtId="3" fontId="13" fillId="5" borderId="0" xfId="0" applyNumberFormat="1" applyFont="1" applyFill="1" applyAlignment="1">
      <alignment horizontal="center" vertical="center"/>
    </xf>
    <xf numFmtId="2" fontId="13" fillId="5" borderId="0" xfId="0" applyNumberFormat="1" applyFont="1" applyFill="1" applyAlignment="1">
      <alignment horizontal="center" vertical="center"/>
    </xf>
    <xf numFmtId="2" fontId="12" fillId="2" borderId="1" xfId="0" applyNumberFormat="1" applyFont="1" applyFill="1" applyBorder="1" applyAlignment="1">
      <alignment horizontal="center" vertical="center"/>
    </xf>
    <xf numFmtId="2" fontId="13" fillId="5" borderId="1" xfId="0" applyNumberFormat="1" applyFont="1" applyFill="1" applyBorder="1" applyAlignment="1">
      <alignment horizontal="center" vertical="center"/>
    </xf>
    <xf numFmtId="164" fontId="12" fillId="0" borderId="0" xfId="1" applyNumberFormat="1" applyFont="1" applyFill="1" applyBorder="1" applyAlignment="1">
      <alignment horizontal="centerContinuous" vertical="center"/>
    </xf>
    <xf numFmtId="0" fontId="12" fillId="2" borderId="1" xfId="0" applyFont="1" applyFill="1" applyBorder="1" applyAlignment="1">
      <alignment horizontal="center" vertical="center"/>
    </xf>
    <xf numFmtId="164" fontId="12" fillId="2" borderId="1" xfId="0" applyNumberFormat="1" applyFont="1" applyFill="1" applyBorder="1" applyAlignment="1">
      <alignment horizontal="center" vertical="center"/>
    </xf>
    <xf numFmtId="3" fontId="12" fillId="0" borderId="3" xfId="0" applyNumberFormat="1" applyFont="1" applyBorder="1" applyAlignment="1">
      <alignment horizontal="center" vertical="center"/>
    </xf>
    <xf numFmtId="0" fontId="12" fillId="0" borderId="13" xfId="0" applyFont="1" applyBorder="1" applyAlignment="1">
      <alignment vertical="center"/>
    </xf>
    <xf numFmtId="0" fontId="15" fillId="0" borderId="0" xfId="0" applyFont="1" applyAlignment="1">
      <alignment horizontal="left" vertical="center" indent="1"/>
    </xf>
    <xf numFmtId="0" fontId="15" fillId="0" borderId="0" xfId="0" applyFont="1" applyAlignment="1">
      <alignment vertical="center"/>
    </xf>
    <xf numFmtId="3" fontId="12" fillId="0" borderId="0" xfId="0" applyNumberFormat="1" applyFont="1" applyAlignment="1">
      <alignment horizontal="center" vertical="center"/>
    </xf>
    <xf numFmtId="3" fontId="12" fillId="2" borderId="1" xfId="0" applyNumberFormat="1" applyFont="1" applyFill="1" applyBorder="1" applyAlignment="1">
      <alignment horizontal="center" vertical="center"/>
    </xf>
    <xf numFmtId="1" fontId="13" fillId="5" borderId="1" xfId="0" applyNumberFormat="1" applyFont="1" applyFill="1" applyBorder="1" applyAlignment="1">
      <alignment horizontal="center" vertical="center"/>
    </xf>
    <xf numFmtId="0" fontId="16" fillId="0" borderId="0" xfId="0" applyFont="1" applyAlignment="1">
      <alignment vertical="center"/>
    </xf>
    <xf numFmtId="0" fontId="15" fillId="0" borderId="0" xfId="0" applyFont="1" applyAlignment="1">
      <alignment horizontal="left" vertical="center"/>
    </xf>
    <xf numFmtId="167" fontId="12" fillId="0" borderId="0" xfId="0" applyNumberFormat="1" applyFont="1" applyAlignment="1">
      <alignment horizontal="left" vertical="center"/>
    </xf>
    <xf numFmtId="0" fontId="12" fillId="0" borderId="0" xfId="0" applyFont="1" applyAlignment="1">
      <alignment horizontal="left" vertical="center" wrapText="1" indent="1"/>
    </xf>
    <xf numFmtId="0" fontId="16" fillId="0" borderId="0" xfId="0" applyFont="1" applyAlignment="1">
      <alignment horizontal="center" vertical="center"/>
    </xf>
    <xf numFmtId="164" fontId="12" fillId="0" borderId="0" xfId="1" applyNumberFormat="1" applyFont="1" applyFill="1" applyBorder="1" applyAlignment="1">
      <alignment horizontal="center" vertical="center"/>
    </xf>
    <xf numFmtId="0" fontId="12" fillId="0" borderId="0" xfId="0" applyFont="1" applyAlignment="1">
      <alignment vertical="center" wrapText="1"/>
    </xf>
    <xf numFmtId="0" fontId="17" fillId="0" borderId="0" xfId="0" applyFont="1" applyAlignment="1">
      <alignment horizontal="center" vertical="center"/>
    </xf>
    <xf numFmtId="0" fontId="0" fillId="0" borderId="0" xfId="0" applyAlignment="1">
      <alignment horizontal="right" vertical="top"/>
    </xf>
    <xf numFmtId="0" fontId="12" fillId="0" borderId="0" xfId="0" applyFont="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wrapText="1"/>
    </xf>
    <xf numFmtId="0" fontId="0" fillId="0" borderId="0" xfId="0" applyAlignment="1">
      <alignment horizontal="left" vertical="center"/>
    </xf>
    <xf numFmtId="0" fontId="12" fillId="0" borderId="0" xfId="0" applyFont="1" applyAlignment="1">
      <alignment horizontal="left"/>
    </xf>
    <xf numFmtId="0" fontId="12" fillId="2" borderId="1" xfId="0" applyFont="1" applyFill="1" applyBorder="1" applyAlignment="1">
      <alignment horizontal="left" vertical="center"/>
    </xf>
    <xf numFmtId="0" fontId="12" fillId="0" borderId="0" xfId="0" quotePrefix="1" applyFont="1" applyAlignment="1">
      <alignment horizontal="left" vertical="center"/>
    </xf>
    <xf numFmtId="0" fontId="12" fillId="2" borderId="12" xfId="0" applyFont="1" applyFill="1" applyBorder="1" applyAlignment="1">
      <alignment horizontal="left" vertical="center"/>
    </xf>
    <xf numFmtId="0" fontId="12" fillId="2" borderId="8" xfId="0" applyFont="1" applyFill="1" applyBorder="1" applyAlignment="1">
      <alignment horizontal="left" vertical="center"/>
    </xf>
    <xf numFmtId="0" fontId="12" fillId="2" borderId="6" xfId="0" applyFont="1" applyFill="1" applyBorder="1" applyAlignment="1">
      <alignment horizontal="left" vertical="center"/>
    </xf>
    <xf numFmtId="0" fontId="12" fillId="6" borderId="1" xfId="0" applyFont="1" applyFill="1" applyBorder="1" applyAlignment="1">
      <alignment horizontal="left" vertical="center"/>
    </xf>
    <xf numFmtId="0" fontId="4" fillId="0" borderId="0" xfId="0" applyFont="1" applyAlignment="1">
      <alignment horizontal="left" vertical="center" indent="1"/>
    </xf>
    <xf numFmtId="165" fontId="12" fillId="0" borderId="1" xfId="0" applyNumberFormat="1" applyFont="1" applyBorder="1" applyAlignment="1">
      <alignment horizontal="center" vertical="center"/>
    </xf>
    <xf numFmtId="0" fontId="15" fillId="7" borderId="1" xfId="0" applyFont="1" applyFill="1" applyBorder="1" applyAlignment="1">
      <alignment horizontal="center" vertical="center"/>
    </xf>
    <xf numFmtId="0" fontId="12" fillId="5" borderId="0" xfId="0" applyFont="1" applyFill="1" applyAlignment="1">
      <alignment horizontal="center" vertical="center"/>
    </xf>
    <xf numFmtId="3" fontId="12" fillId="5" borderId="0" xfId="0" applyNumberFormat="1" applyFont="1" applyFill="1" applyAlignment="1">
      <alignment horizontal="center" vertical="center"/>
    </xf>
    <xf numFmtId="0" fontId="12" fillId="2" borderId="0" xfId="0" applyFont="1" applyFill="1" applyAlignment="1">
      <alignment horizontal="left" vertical="center"/>
    </xf>
    <xf numFmtId="0" fontId="13" fillId="0" borderId="0" xfId="0" applyFont="1" applyAlignment="1">
      <alignment horizontal="left" vertical="center"/>
    </xf>
    <xf numFmtId="0" fontId="13" fillId="5" borderId="0" xfId="0" applyFont="1" applyFill="1" applyAlignment="1">
      <alignment horizontal="left" vertical="center"/>
    </xf>
    <xf numFmtId="0" fontId="8" fillId="5" borderId="0" xfId="0" applyFont="1" applyFill="1" applyAlignment="1">
      <alignment horizontal="left" vertical="center"/>
    </xf>
    <xf numFmtId="3" fontId="13" fillId="5" borderId="0" xfId="0" applyNumberFormat="1" applyFont="1" applyFill="1" applyAlignment="1">
      <alignment horizontal="right" vertical="center" indent="1"/>
    </xf>
    <xf numFmtId="0" fontId="13" fillId="5" borderId="0" xfId="0" applyFont="1" applyFill="1" applyAlignment="1">
      <alignment horizontal="right" vertical="center" indent="1"/>
    </xf>
    <xf numFmtId="3" fontId="12" fillId="5" borderId="0" xfId="0" applyNumberFormat="1" applyFont="1" applyFill="1" applyAlignment="1">
      <alignment horizontal="center" vertical="center" wrapText="1"/>
    </xf>
    <xf numFmtId="3" fontId="12" fillId="5" borderId="14" xfId="0" applyNumberFormat="1" applyFont="1" applyFill="1" applyBorder="1" applyAlignment="1">
      <alignment horizontal="center" vertical="center"/>
    </xf>
    <xf numFmtId="0" fontId="12" fillId="5" borderId="0" xfId="0" applyFont="1" applyFill="1" applyAlignment="1">
      <alignment vertical="center"/>
    </xf>
    <xf numFmtId="3" fontId="13" fillId="5" borderId="14"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3" fontId="18" fillId="5" borderId="0" xfId="0" applyNumberFormat="1" applyFont="1" applyFill="1" applyAlignment="1">
      <alignment horizontal="center" vertical="center"/>
    </xf>
    <xf numFmtId="164" fontId="12" fillId="0" borderId="1" xfId="0" applyNumberFormat="1" applyFont="1" applyBorder="1" applyAlignment="1">
      <alignment horizontal="center" vertical="center"/>
    </xf>
    <xf numFmtId="164" fontId="12" fillId="0" borderId="5" xfId="0" applyNumberFormat="1" applyFont="1" applyBorder="1" applyAlignment="1">
      <alignment horizontal="left" vertical="center"/>
    </xf>
    <xf numFmtId="0" fontId="19" fillId="5" borderId="0" xfId="0" applyFont="1" applyFill="1"/>
    <xf numFmtId="0" fontId="20" fillId="5" borderId="0" xfId="0" applyFont="1" applyFill="1"/>
    <xf numFmtId="0" fontId="12" fillId="0" borderId="0" xfId="0" applyFont="1" applyAlignment="1">
      <alignment vertical="top"/>
    </xf>
    <xf numFmtId="0" fontId="12" fillId="4" borderId="0" xfId="0" applyFont="1" applyFill="1" applyAlignment="1">
      <alignment vertical="top"/>
    </xf>
    <xf numFmtId="0" fontId="12" fillId="0" borderId="0" xfId="0" quotePrefix="1" applyFont="1" applyAlignment="1">
      <alignment vertical="top"/>
    </xf>
    <xf numFmtId="2" fontId="12" fillId="4" borderId="0" xfId="0" applyNumberFormat="1" applyFont="1" applyFill="1" applyAlignment="1">
      <alignment vertical="top"/>
    </xf>
    <xf numFmtId="0" fontId="21" fillId="0" borderId="0" xfId="3" applyFont="1" applyAlignment="1">
      <alignment vertical="top"/>
    </xf>
    <xf numFmtId="3" fontId="12" fillId="4" borderId="0" xfId="0" applyNumberFormat="1" applyFont="1" applyFill="1" applyAlignment="1">
      <alignment vertical="top"/>
    </xf>
    <xf numFmtId="1" fontId="12" fillId="4" borderId="0" xfId="0" applyNumberFormat="1" applyFont="1" applyFill="1" applyAlignment="1">
      <alignment vertical="top"/>
    </xf>
    <xf numFmtId="165" fontId="12" fillId="4" borderId="0" xfId="0" applyNumberFormat="1" applyFont="1" applyFill="1" applyAlignment="1">
      <alignment vertical="top"/>
    </xf>
    <xf numFmtId="9" fontId="12" fillId="4" borderId="0" xfId="0" applyNumberFormat="1" applyFont="1" applyFill="1" applyAlignment="1">
      <alignment vertical="top"/>
    </xf>
    <xf numFmtId="9" fontId="12" fillId="0" borderId="0" xfId="0" applyNumberFormat="1" applyFont="1" applyAlignment="1">
      <alignment vertical="top"/>
    </xf>
    <xf numFmtId="2" fontId="12" fillId="0" borderId="0" xfId="0" applyNumberFormat="1" applyFont="1" applyAlignment="1">
      <alignment vertical="top"/>
    </xf>
    <xf numFmtId="165" fontId="12" fillId="0" borderId="0" xfId="0" applyNumberFormat="1" applyFont="1" applyAlignment="1">
      <alignment vertical="top"/>
    </xf>
    <xf numFmtId="0" fontId="21" fillId="0" borderId="0" xfId="3" applyFont="1" applyFill="1" applyAlignment="1">
      <alignment vertical="top"/>
    </xf>
    <xf numFmtId="164" fontId="12" fillId="4" borderId="0" xfId="0" applyNumberFormat="1" applyFont="1" applyFill="1" applyAlignment="1">
      <alignment vertical="top"/>
    </xf>
    <xf numFmtId="0" fontId="12" fillId="0" borderId="0" xfId="0" applyFont="1" applyAlignment="1">
      <alignment vertical="top" wrapText="1"/>
    </xf>
    <xf numFmtId="0" fontId="13" fillId="5" borderId="9" xfId="0" applyFont="1" applyFill="1" applyBorder="1" applyAlignment="1">
      <alignment horizontal="center" vertical="center"/>
    </xf>
    <xf numFmtId="0" fontId="13" fillId="5" borderId="15" xfId="0" applyFont="1" applyFill="1" applyBorder="1" applyAlignment="1">
      <alignment horizontal="center" vertical="center"/>
    </xf>
    <xf numFmtId="0" fontId="12" fillId="5" borderId="11" xfId="0" applyFont="1" applyFill="1" applyBorder="1" applyAlignment="1">
      <alignment vertical="center"/>
    </xf>
    <xf numFmtId="164" fontId="12" fillId="0" borderId="0" xfId="0" applyNumberFormat="1" applyFont="1" applyAlignment="1">
      <alignment horizontal="center" vertical="center" wrapText="1"/>
    </xf>
    <xf numFmtId="0" fontId="15" fillId="5" borderId="0" xfId="0" applyFont="1" applyFill="1" applyAlignment="1">
      <alignment horizontal="left" vertical="center"/>
    </xf>
    <xf numFmtId="0" fontId="12" fillId="2" borderId="1" xfId="0" applyFont="1" applyFill="1" applyBorder="1" applyAlignment="1">
      <alignment horizontal="left" vertical="center" indent="2"/>
    </xf>
    <xf numFmtId="0" fontId="12" fillId="5" borderId="0" xfId="0" applyFont="1" applyFill="1" applyAlignment="1">
      <alignment horizontal="left" vertical="center"/>
    </xf>
    <xf numFmtId="1" fontId="12" fillId="0" borderId="1" xfId="0" applyNumberFormat="1" applyFont="1" applyBorder="1" applyAlignment="1">
      <alignment horizontal="center" vertical="center"/>
    </xf>
    <xf numFmtId="0" fontId="9" fillId="5" borderId="11" xfId="0" applyFont="1" applyFill="1" applyBorder="1" applyAlignment="1">
      <alignment vertical="center"/>
    </xf>
    <xf numFmtId="0" fontId="9" fillId="5" borderId="0" xfId="0" applyFont="1" applyFill="1" applyAlignment="1">
      <alignment horizontal="center" vertical="center"/>
    </xf>
    <xf numFmtId="0" fontId="9" fillId="5" borderId="0" xfId="0" applyFont="1" applyFill="1" applyAlignment="1">
      <alignment vertical="center"/>
    </xf>
    <xf numFmtId="0" fontId="0" fillId="5" borderId="11" xfId="0" applyFill="1" applyBorder="1" applyAlignment="1">
      <alignment vertical="center"/>
    </xf>
    <xf numFmtId="0" fontId="0" fillId="5" borderId="0" xfId="0" applyFill="1" applyAlignment="1">
      <alignment horizontal="center" vertical="center"/>
    </xf>
    <xf numFmtId="0" fontId="0" fillId="5" borderId="0" xfId="0" applyFill="1" applyAlignment="1">
      <alignment vertical="center"/>
    </xf>
    <xf numFmtId="3" fontId="4" fillId="5" borderId="0" xfId="0" applyNumberFormat="1" applyFont="1" applyFill="1" applyAlignment="1">
      <alignment horizontal="center" vertical="center"/>
    </xf>
    <xf numFmtId="0" fontId="9" fillId="0" borderId="13" xfId="0" applyFont="1" applyBorder="1" applyAlignment="1">
      <alignment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165" fontId="12" fillId="0" borderId="13" xfId="0" applyNumberFormat="1" applyFont="1" applyBorder="1" applyAlignment="1">
      <alignment horizontal="center" vertical="center"/>
    </xf>
    <xf numFmtId="0" fontId="12" fillId="0" borderId="13" xfId="0" applyFont="1" applyBorder="1" applyAlignment="1">
      <alignment horizontal="right" vertical="center"/>
    </xf>
    <xf numFmtId="2" fontId="12" fillId="0" borderId="13" xfId="0" applyNumberFormat="1" applyFont="1" applyBorder="1" applyAlignment="1">
      <alignment horizontal="center" vertical="center"/>
    </xf>
    <xf numFmtId="0" fontId="0" fillId="0" borderId="13" xfId="0" applyBorder="1" applyAlignment="1">
      <alignment vertical="center"/>
    </xf>
    <xf numFmtId="3" fontId="15" fillId="7" borderId="1" xfId="0" applyNumberFormat="1" applyFont="1" applyFill="1" applyBorder="1" applyAlignment="1">
      <alignment horizontal="center" vertical="center"/>
    </xf>
    <xf numFmtId="9" fontId="12" fillId="4" borderId="1" xfId="2" applyFont="1" applyFill="1" applyBorder="1" applyAlignment="1">
      <alignment horizontal="center" vertical="center"/>
    </xf>
    <xf numFmtId="0" fontId="12" fillId="4" borderId="1" xfId="0" applyFont="1" applyFill="1" applyBorder="1" applyAlignment="1">
      <alignment horizontal="left" vertical="center" indent="1"/>
    </xf>
    <xf numFmtId="3" fontId="12" fillId="4" borderId="1" xfId="0" applyNumberFormat="1" applyFont="1" applyFill="1" applyBorder="1" applyAlignment="1">
      <alignment horizontal="center" vertical="center"/>
    </xf>
    <xf numFmtId="1" fontId="12" fillId="4" borderId="1" xfId="0" applyNumberFormat="1" applyFont="1" applyFill="1" applyBorder="1" applyAlignment="1">
      <alignment horizontal="center" vertical="center"/>
    </xf>
    <xf numFmtId="1" fontId="12" fillId="4" borderId="9" xfId="0" applyNumberFormat="1" applyFont="1" applyFill="1" applyBorder="1" applyAlignment="1">
      <alignment horizontal="center" vertical="center"/>
    </xf>
    <xf numFmtId="164" fontId="12" fillId="4" borderId="1" xfId="1" applyNumberFormat="1" applyFont="1" applyFill="1" applyBorder="1" applyAlignment="1">
      <alignment horizontal="center" vertical="center"/>
    </xf>
    <xf numFmtId="0" fontId="12" fillId="4" borderId="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0" borderId="1" xfId="0" applyFont="1" applyBorder="1" applyAlignment="1">
      <alignment horizontal="left" vertical="center" indent="1"/>
    </xf>
    <xf numFmtId="0" fontId="12" fillId="4" borderId="1" xfId="0" applyFont="1" applyFill="1" applyBorder="1" applyAlignment="1">
      <alignment vertical="center"/>
    </xf>
    <xf numFmtId="164" fontId="12" fillId="4" borderId="1" xfId="1" applyNumberFormat="1" applyFont="1" applyFill="1" applyBorder="1" applyAlignment="1">
      <alignment horizontal="left" vertical="center"/>
    </xf>
    <xf numFmtId="0" fontId="13" fillId="0" borderId="11" xfId="0" applyFont="1" applyBorder="1" applyAlignment="1">
      <alignment horizontal="right" vertical="center" indent="1"/>
    </xf>
    <xf numFmtId="3" fontId="13" fillId="0" borderId="0" xfId="0" applyNumberFormat="1" applyFont="1" applyAlignment="1">
      <alignment horizontal="center" vertical="center"/>
    </xf>
    <xf numFmtId="0" fontId="0" fillId="0" borderId="0" xfId="0" applyAlignment="1">
      <alignment horizontal="left" vertical="top" wrapText="1"/>
    </xf>
    <xf numFmtId="0" fontId="14" fillId="0" borderId="7" xfId="0" applyFont="1" applyBorder="1" applyAlignment="1">
      <alignment horizontal="left" vertical="center"/>
    </xf>
    <xf numFmtId="0" fontId="12" fillId="0" borderId="0" xfId="0" applyFont="1" applyAlignment="1">
      <alignment horizontal="left" vertical="center" wrapText="1" indent="2"/>
    </xf>
    <xf numFmtId="0" fontId="16" fillId="0" borderId="0" xfId="0" applyFont="1" applyAlignment="1">
      <alignment vertical="center" wrapText="1"/>
    </xf>
    <xf numFmtId="0" fontId="12" fillId="4" borderId="1" xfId="0" applyFont="1" applyFill="1" applyBorder="1" applyAlignment="1">
      <alignment horizontal="left" vertical="center" wrapText="1" indent="1"/>
    </xf>
    <xf numFmtId="0" fontId="12" fillId="0" borderId="0" xfId="0" applyFont="1" applyAlignment="1">
      <alignment horizontal="right" vertical="center" wrapText="1"/>
    </xf>
    <xf numFmtId="0" fontId="13" fillId="5" borderId="0" xfId="0" applyFont="1" applyFill="1" applyAlignment="1">
      <alignment vertical="center" wrapText="1"/>
    </xf>
    <xf numFmtId="3" fontId="12" fillId="0" borderId="1" xfId="0" applyNumberFormat="1" applyFont="1" applyBorder="1" applyAlignment="1">
      <alignment horizontal="center" vertical="center"/>
    </xf>
    <xf numFmtId="0" fontId="14" fillId="0" borderId="5" xfId="0" applyFont="1" applyBorder="1" applyAlignment="1">
      <alignment horizontal="left" vertical="center"/>
    </xf>
    <xf numFmtId="0" fontId="16" fillId="0" borderId="0" xfId="0" applyFont="1" applyAlignment="1">
      <alignment horizontal="left" vertical="center"/>
    </xf>
    <xf numFmtId="0" fontId="12" fillId="0" borderId="12" xfId="0" applyFont="1" applyBorder="1" applyAlignment="1">
      <alignment horizontal="left" vertical="center"/>
    </xf>
    <xf numFmtId="8" fontId="4" fillId="0" borderId="0" xfId="0" applyNumberFormat="1" applyFont="1" applyAlignment="1">
      <alignment vertical="center"/>
    </xf>
    <xf numFmtId="0" fontId="7" fillId="0" borderId="0" xfId="3" applyAlignment="1">
      <alignment horizontal="left" vertical="top" wrapText="1"/>
    </xf>
    <xf numFmtId="9" fontId="13" fillId="5" borderId="0" xfId="2" applyFont="1" applyFill="1" applyBorder="1" applyAlignment="1">
      <alignment horizontal="center" vertical="center"/>
    </xf>
    <xf numFmtId="166" fontId="13" fillId="5" borderId="0" xfId="0" applyNumberFormat="1" applyFont="1" applyFill="1" applyAlignment="1">
      <alignment horizontal="center" vertical="center"/>
    </xf>
    <xf numFmtId="3" fontId="12" fillId="4" borderId="1" xfId="0" applyNumberFormat="1" applyFont="1" applyFill="1" applyBorder="1" applyAlignment="1">
      <alignment horizontal="centerContinuous" vertical="center"/>
    </xf>
    <xf numFmtId="164" fontId="12" fillId="4" borderId="1" xfId="1" applyNumberFormat="1" applyFont="1" applyFill="1" applyBorder="1" applyAlignment="1">
      <alignment horizontal="centerContinuous" vertical="center"/>
    </xf>
    <xf numFmtId="2" fontId="12" fillId="4" borderId="1" xfId="0" applyNumberFormat="1" applyFont="1" applyFill="1" applyBorder="1" applyAlignment="1">
      <alignment horizontal="center" vertical="center"/>
    </xf>
    <xf numFmtId="0" fontId="12" fillId="0" borderId="0" xfId="0" applyFont="1" applyAlignment="1">
      <alignment horizontal="left" vertical="center" wrapText="1" indent="3"/>
    </xf>
    <xf numFmtId="165" fontId="0" fillId="2" borderId="0" xfId="0" applyNumberFormat="1" applyFill="1" applyAlignment="1">
      <alignment horizontal="center" vertical="top"/>
    </xf>
    <xf numFmtId="0" fontId="0" fillId="4" borderId="0" xfId="0" applyFill="1" applyAlignment="1">
      <alignment horizontal="center" vertical="top"/>
    </xf>
    <xf numFmtId="1" fontId="0" fillId="4" borderId="0" xfId="0" applyNumberFormat="1" applyFill="1" applyAlignment="1">
      <alignment horizontal="center" vertical="top"/>
    </xf>
    <xf numFmtId="165" fontId="0" fillId="4" borderId="0" xfId="0" applyNumberFormat="1" applyFill="1" applyAlignment="1">
      <alignment horizontal="center" vertical="top"/>
    </xf>
    <xf numFmtId="2" fontId="0" fillId="4" borderId="0" xfId="2" applyNumberFormat="1" applyFont="1" applyFill="1" applyAlignment="1">
      <alignment horizontal="center" vertical="top"/>
    </xf>
    <xf numFmtId="164" fontId="0" fillId="4" borderId="0" xfId="0" applyNumberFormat="1" applyFill="1" applyAlignment="1">
      <alignment horizontal="center" vertical="top"/>
    </xf>
    <xf numFmtId="2" fontId="12" fillId="4" borderId="1" xfId="1" applyNumberFormat="1" applyFont="1" applyFill="1" applyBorder="1" applyAlignment="1">
      <alignment horizontal="center" vertical="center"/>
    </xf>
    <xf numFmtId="3" fontId="12" fillId="4" borderId="1" xfId="1" applyNumberFormat="1" applyFont="1" applyFill="1" applyBorder="1" applyAlignment="1">
      <alignment horizontal="center" vertical="center"/>
    </xf>
    <xf numFmtId="166" fontId="13" fillId="5" borderId="14" xfId="0" applyNumberFormat="1" applyFont="1" applyFill="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13" xfId="0" applyFont="1" applyBorder="1" applyAlignment="1">
      <alignment vertical="center"/>
    </xf>
    <xf numFmtId="0" fontId="22" fillId="5" borderId="0" xfId="0" applyFont="1" applyFill="1" applyAlignment="1">
      <alignment vertical="center"/>
    </xf>
    <xf numFmtId="0" fontId="22" fillId="5" borderId="0" xfId="0" applyFont="1" applyFill="1" applyAlignment="1">
      <alignment horizontal="center" vertical="center"/>
    </xf>
    <xf numFmtId="0" fontId="24" fillId="5" borderId="0" xfId="0" applyFont="1" applyFill="1" applyAlignment="1">
      <alignment vertical="center"/>
    </xf>
    <xf numFmtId="0" fontId="24" fillId="5" borderId="0" xfId="0" applyFont="1" applyFill="1" applyAlignment="1">
      <alignment horizontal="center" vertical="center"/>
    </xf>
    <xf numFmtId="165" fontId="12" fillId="4" borderId="1" xfId="1" applyNumberFormat="1" applyFont="1" applyFill="1" applyBorder="1" applyAlignment="1">
      <alignment horizontal="centerContinuous" vertical="center"/>
    </xf>
    <xf numFmtId="1" fontId="0" fillId="4" borderId="0" xfId="2" applyNumberFormat="1" applyFont="1" applyFill="1" applyAlignment="1">
      <alignment horizontal="center" vertical="top"/>
    </xf>
    <xf numFmtId="164" fontId="0" fillId="4" borderId="0" xfId="2" applyNumberFormat="1" applyFont="1" applyFill="1" applyAlignment="1">
      <alignment horizontal="center" vertical="top"/>
    </xf>
    <xf numFmtId="165" fontId="0" fillId="4" borderId="0" xfId="2" applyNumberFormat="1" applyFont="1" applyFill="1" applyAlignment="1">
      <alignment horizontal="center" vertical="top"/>
    </xf>
    <xf numFmtId="0" fontId="0" fillId="4" borderId="0" xfId="0" applyFill="1"/>
    <xf numFmtId="0" fontId="26" fillId="0" borderId="0" xfId="0" applyFont="1"/>
    <xf numFmtId="0" fontId="8" fillId="5" borderId="0" xfId="0" applyFont="1" applyFill="1" applyAlignment="1">
      <alignment horizontal="left" vertical="center" indent="1"/>
    </xf>
    <xf numFmtId="0" fontId="10" fillId="5" borderId="0" xfId="0" applyFont="1" applyFill="1" applyAlignment="1">
      <alignment horizontal="center" vertical="center" wrapText="1"/>
    </xf>
    <xf numFmtId="0" fontId="24" fillId="5" borderId="0" xfId="0" applyFont="1" applyFill="1" applyAlignment="1">
      <alignment vertical="center" wrapText="1"/>
    </xf>
    <xf numFmtId="0" fontId="24" fillId="5" borderId="0" xfId="0" applyFont="1" applyFill="1" applyAlignment="1">
      <alignment horizontal="center" vertical="center" wrapText="1"/>
    </xf>
    <xf numFmtId="0" fontId="13" fillId="5" borderId="1" xfId="0" applyFont="1" applyFill="1" applyBorder="1" applyAlignment="1">
      <alignment horizontal="center" vertical="center" wrapText="1"/>
    </xf>
    <xf numFmtId="9" fontId="13" fillId="5" borderId="1" xfId="2" applyFont="1" applyFill="1" applyBorder="1" applyAlignment="1">
      <alignment horizontal="center" vertical="center" wrapText="1"/>
    </xf>
    <xf numFmtId="3" fontId="13" fillId="5" borderId="1" xfId="0" applyNumberFormat="1" applyFont="1" applyFill="1" applyBorder="1" applyAlignment="1">
      <alignment horizontal="center" vertical="center" wrapText="1"/>
    </xf>
    <xf numFmtId="166" fontId="13" fillId="5" borderId="1" xfId="0" applyNumberFormat="1" applyFont="1" applyFill="1" applyBorder="1" applyAlignment="1">
      <alignment horizontal="center" vertical="center" wrapText="1"/>
    </xf>
    <xf numFmtId="9" fontId="13" fillId="5" borderId="0" xfId="2" applyFont="1" applyFill="1" applyBorder="1" applyAlignment="1">
      <alignment horizontal="center" vertical="center" wrapText="1"/>
    </xf>
    <xf numFmtId="3" fontId="13" fillId="5" borderId="0" xfId="0" applyNumberFormat="1" applyFont="1" applyFill="1" applyAlignment="1">
      <alignment horizontal="center" vertical="center" wrapText="1"/>
    </xf>
    <xf numFmtId="166" fontId="13" fillId="5" borderId="0" xfId="0" applyNumberFormat="1" applyFont="1" applyFill="1" applyAlignment="1">
      <alignment horizontal="center" vertical="center" wrapText="1"/>
    </xf>
    <xf numFmtId="9" fontId="13" fillId="5" borderId="0" xfId="2" applyFont="1" applyFill="1" applyAlignment="1">
      <alignment horizontal="center" vertical="center" wrapText="1"/>
    </xf>
    <xf numFmtId="2" fontId="13" fillId="5" borderId="1" xfId="0" applyNumberFormat="1" applyFont="1" applyFill="1" applyBorder="1" applyAlignment="1">
      <alignment horizontal="center" vertical="center" wrapText="1"/>
    </xf>
    <xf numFmtId="0" fontId="12" fillId="5" borderId="0" xfId="0" applyFont="1" applyFill="1" applyAlignment="1">
      <alignment vertical="center" wrapText="1"/>
    </xf>
    <xf numFmtId="2" fontId="13" fillId="5" borderId="0" xfId="0" applyNumberFormat="1" applyFont="1" applyFill="1" applyAlignment="1">
      <alignment horizontal="center" vertical="center" wrapText="1"/>
    </xf>
    <xf numFmtId="3" fontId="13" fillId="0" borderId="0" xfId="0" applyNumberFormat="1" applyFont="1" applyAlignment="1">
      <alignment horizontal="center" vertical="center" wrapText="1"/>
    </xf>
    <xf numFmtId="0" fontId="13" fillId="0" borderId="0" xfId="0" applyFont="1" applyAlignment="1">
      <alignment horizontal="center" vertical="center" wrapText="1"/>
    </xf>
    <xf numFmtId="166" fontId="13" fillId="5" borderId="14" xfId="0" applyNumberFormat="1" applyFont="1" applyFill="1" applyBorder="1" applyAlignment="1">
      <alignment horizontal="center" vertical="center" wrapText="1"/>
    </xf>
    <xf numFmtId="1" fontId="13" fillId="5" borderId="1" xfId="0" applyNumberFormat="1" applyFont="1" applyFill="1" applyBorder="1" applyAlignment="1">
      <alignment horizontal="center" vertical="center" wrapText="1"/>
    </xf>
    <xf numFmtId="0" fontId="15" fillId="5" borderId="0" xfId="0" applyFont="1" applyFill="1" applyAlignment="1">
      <alignment horizontal="left" vertical="center" wrapText="1"/>
    </xf>
    <xf numFmtId="0" fontId="13" fillId="5" borderId="0" xfId="0" applyFont="1" applyFill="1" applyAlignment="1">
      <alignment horizontal="left" vertical="center" wrapText="1"/>
    </xf>
    <xf numFmtId="0" fontId="8" fillId="5" borderId="0" xfId="0" applyFont="1" applyFill="1" applyAlignment="1">
      <alignment horizontal="right" vertical="center" wrapText="1"/>
    </xf>
    <xf numFmtId="0" fontId="8" fillId="5" borderId="0" xfId="0" applyFont="1" applyFill="1" applyAlignment="1">
      <alignment horizontal="center" vertical="center" wrapText="1"/>
    </xf>
    <xf numFmtId="3" fontId="8" fillId="5" borderId="0" xfId="0" applyNumberFormat="1" applyFont="1" applyFill="1" applyAlignment="1">
      <alignment horizontal="center" vertical="center" wrapText="1"/>
    </xf>
    <xf numFmtId="3" fontId="9" fillId="5" borderId="0" xfId="0" applyNumberFormat="1" applyFont="1" applyFill="1" applyAlignment="1">
      <alignment horizontal="center" vertical="center" wrapText="1"/>
    </xf>
    <xf numFmtId="0" fontId="22" fillId="5" borderId="0" xfId="0" applyFont="1" applyFill="1" applyAlignment="1">
      <alignment horizontal="center" vertical="center" wrapText="1"/>
    </xf>
    <xf numFmtId="0" fontId="13" fillId="5" borderId="15" xfId="0" applyFont="1" applyFill="1" applyBorder="1" applyAlignment="1">
      <alignment horizontal="center" vertical="center" wrapText="1"/>
    </xf>
    <xf numFmtId="0" fontId="13" fillId="5" borderId="9" xfId="0"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4" fillId="5" borderId="0" xfId="0" applyNumberFormat="1" applyFont="1" applyFill="1" applyAlignment="1">
      <alignment horizontal="center" vertical="center" wrapText="1"/>
    </xf>
    <xf numFmtId="3" fontId="13" fillId="5" borderId="14" xfId="0" applyNumberFormat="1" applyFont="1" applyFill="1" applyBorder="1" applyAlignment="1">
      <alignment horizontal="center" vertical="center" wrapText="1"/>
    </xf>
    <xf numFmtId="0" fontId="12" fillId="5" borderId="0" xfId="0" applyFont="1" applyFill="1" applyAlignment="1">
      <alignment horizontal="center" vertical="center" wrapText="1"/>
    </xf>
    <xf numFmtId="3" fontId="0" fillId="5" borderId="0" xfId="0" applyNumberFormat="1" applyFill="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vertical="center" wrapText="1"/>
    </xf>
    <xf numFmtId="0" fontId="10" fillId="5" borderId="0" xfId="0" applyFont="1" applyFill="1" applyAlignment="1">
      <alignment vertical="center" wrapText="1"/>
    </xf>
    <xf numFmtId="0" fontId="22" fillId="5" borderId="0" xfId="0" applyFont="1" applyFill="1" applyAlignment="1">
      <alignment vertical="center" wrapText="1"/>
    </xf>
    <xf numFmtId="0" fontId="0" fillId="5" borderId="0" xfId="0" applyFill="1" applyAlignment="1">
      <alignment horizontal="center" vertical="center" wrapText="1"/>
    </xf>
    <xf numFmtId="0" fontId="0" fillId="5" borderId="0" xfId="0" applyFill="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indent="2"/>
    </xf>
    <xf numFmtId="0" fontId="27" fillId="0" borderId="0" xfId="0" applyFont="1" applyAlignment="1">
      <alignment vertical="center" wrapText="1"/>
    </xf>
    <xf numFmtId="0" fontId="28" fillId="0" borderId="0" xfId="0" applyFont="1" applyAlignment="1">
      <alignment vertical="center" wrapText="1"/>
    </xf>
    <xf numFmtId="0" fontId="16" fillId="0" borderId="0" xfId="0" applyFont="1" applyAlignment="1">
      <alignment horizontal="left" vertical="center" wrapText="1"/>
    </xf>
    <xf numFmtId="165" fontId="16" fillId="2" borderId="0" xfId="0" applyNumberFormat="1" applyFont="1" applyFill="1" applyAlignment="1">
      <alignment horizontal="left" vertical="center" wrapText="1"/>
    </xf>
    <xf numFmtId="0" fontId="16" fillId="2" borderId="0" xfId="0" applyFont="1" applyFill="1" applyAlignment="1">
      <alignment horizontal="left" vertical="center" wrapText="1"/>
    </xf>
    <xf numFmtId="0" fontId="25" fillId="0" borderId="0" xfId="0" applyFont="1" applyAlignment="1">
      <alignment vertical="center" wrapText="1"/>
    </xf>
    <xf numFmtId="0" fontId="12" fillId="2" borderId="0" xfId="0" applyFont="1" applyFill="1" applyAlignment="1">
      <alignment vertical="center"/>
    </xf>
    <xf numFmtId="0" fontId="16" fillId="2" borderId="0" xfId="0" applyFont="1" applyFill="1" applyAlignment="1">
      <alignment horizontal="center" vertical="center" wrapText="1"/>
    </xf>
    <xf numFmtId="165" fontId="16" fillId="2" borderId="0" xfId="0" applyNumberFormat="1" applyFont="1" applyFill="1" applyAlignment="1">
      <alignment horizontal="center" vertical="center" wrapText="1"/>
    </xf>
    <xf numFmtId="167" fontId="16" fillId="2" borderId="0" xfId="0" applyNumberFormat="1" applyFont="1" applyFill="1" applyAlignment="1">
      <alignment horizontal="left" vertical="center" wrapText="1"/>
    </xf>
    <xf numFmtId="0" fontId="28" fillId="2" borderId="0" xfId="0" applyFont="1" applyFill="1" applyAlignment="1">
      <alignment vertical="center" wrapText="1"/>
    </xf>
    <xf numFmtId="0" fontId="16" fillId="2" borderId="0" xfId="0" applyFont="1" applyFill="1" applyAlignment="1">
      <alignment vertical="center" wrapText="1"/>
    </xf>
    <xf numFmtId="165" fontId="12" fillId="2" borderId="0" xfId="0" applyNumberFormat="1" applyFont="1" applyFill="1" applyAlignment="1">
      <alignment horizontal="left" vertical="center"/>
    </xf>
    <xf numFmtId="0" fontId="12" fillId="2" borderId="0" xfId="0" applyFont="1" applyFill="1" applyAlignment="1">
      <alignment horizontal="left" vertical="center" wrapText="1"/>
    </xf>
    <xf numFmtId="165" fontId="12" fillId="2" borderId="0" xfId="0" applyNumberFormat="1" applyFont="1" applyFill="1" applyAlignment="1">
      <alignment horizontal="center" vertical="center"/>
    </xf>
    <xf numFmtId="0" fontId="12" fillId="2" borderId="0" xfId="0" applyFont="1" applyFill="1" applyAlignment="1">
      <alignment horizontal="center" vertical="center" wrapText="1"/>
    </xf>
    <xf numFmtId="167" fontId="12" fillId="2" borderId="0" xfId="0" applyNumberFormat="1" applyFont="1" applyFill="1" applyAlignment="1">
      <alignment horizontal="left" vertical="center"/>
    </xf>
    <xf numFmtId="0" fontId="22" fillId="2" borderId="0" xfId="0" applyFont="1" applyFill="1" applyAlignment="1">
      <alignment vertical="center"/>
    </xf>
    <xf numFmtId="0" fontId="12" fillId="2" borderId="0" xfId="0" applyFont="1" applyFill="1" applyAlignment="1">
      <alignment horizontal="right" vertical="center"/>
    </xf>
    <xf numFmtId="0" fontId="0" fillId="4" borderId="0" xfId="0" applyFill="1" applyAlignment="1">
      <alignment vertical="center"/>
    </xf>
    <xf numFmtId="165" fontId="0" fillId="4" borderId="0" xfId="0" applyNumberFormat="1" applyFill="1"/>
    <xf numFmtId="0" fontId="0" fillId="4" borderId="1" xfId="0" applyFill="1" applyBorder="1" applyAlignment="1">
      <alignment horizontal="centerContinuous"/>
    </xf>
    <xf numFmtId="0" fontId="0" fillId="4" borderId="2" xfId="0" applyFill="1" applyBorder="1" applyAlignment="1">
      <alignment horizontal="left"/>
    </xf>
    <xf numFmtId="0" fontId="0" fillId="4" borderId="3" xfId="0" applyFill="1" applyBorder="1" applyAlignment="1">
      <alignment horizontal="centerContinuous"/>
    </xf>
    <xf numFmtId="0" fontId="0" fillId="4" borderId="4" xfId="0" applyFill="1" applyBorder="1" applyAlignment="1">
      <alignment horizontal="centerContinuous"/>
    </xf>
    <xf numFmtId="14" fontId="0" fillId="4" borderId="2" xfId="0" applyNumberFormat="1" applyFill="1" applyBorder="1" applyAlignment="1">
      <alignment horizontal="left"/>
    </xf>
    <xf numFmtId="3" fontId="0" fillId="4" borderId="1" xfId="0" applyNumberFormat="1" applyFill="1" applyBorder="1" applyAlignment="1">
      <alignment horizontal="centerContinuous"/>
    </xf>
    <xf numFmtId="0" fontId="26" fillId="4" borderId="0" xfId="0" applyFont="1" applyFill="1"/>
    <xf numFmtId="2" fontId="0" fillId="4" borderId="0" xfId="0" applyNumberFormat="1" applyFill="1"/>
    <xf numFmtId="2" fontId="0" fillId="4" borderId="0" xfId="0" applyNumberFormat="1" applyFill="1" applyAlignment="1">
      <alignment horizontal="center" vertical="top"/>
    </xf>
    <xf numFmtId="0" fontId="0" fillId="0" borderId="0" xfId="0" applyAlignment="1">
      <alignment horizontal="center"/>
    </xf>
    <xf numFmtId="9" fontId="8" fillId="5" borderId="0" xfId="2" applyFont="1" applyFill="1" applyAlignment="1">
      <alignment horizontal="center" vertical="center" wrapText="1"/>
    </xf>
    <xf numFmtId="0" fontId="8" fillId="5" borderId="0" xfId="0" applyFont="1" applyFill="1" applyAlignment="1">
      <alignment horizontal="right" vertical="center"/>
    </xf>
    <xf numFmtId="0" fontId="8" fillId="8" borderId="0" xfId="0" applyFont="1" applyFill="1" applyAlignment="1">
      <alignment horizontal="left" vertical="center"/>
    </xf>
    <xf numFmtId="0" fontId="8" fillId="8" borderId="0" xfId="0" applyFont="1" applyFill="1" applyAlignment="1">
      <alignment horizontal="right" vertical="center" wrapText="1"/>
    </xf>
    <xf numFmtId="0" fontId="8" fillId="8" borderId="0" xfId="0" applyFont="1" applyFill="1" applyAlignment="1">
      <alignment horizontal="center" vertical="center" wrapText="1"/>
    </xf>
    <xf numFmtId="3" fontId="8" fillId="8" borderId="0" xfId="0" applyNumberFormat="1" applyFont="1" applyFill="1" applyAlignment="1">
      <alignment horizontal="center" vertical="center" wrapText="1"/>
    </xf>
    <xf numFmtId="9" fontId="8" fillId="8" borderId="0" xfId="2" applyFont="1" applyFill="1" applyAlignment="1">
      <alignment horizontal="center" vertical="center" wrapText="1"/>
    </xf>
    <xf numFmtId="0" fontId="8" fillId="8" borderId="0" xfId="0" applyFont="1" applyFill="1" applyAlignment="1">
      <alignment horizontal="left" vertical="center" indent="1"/>
    </xf>
    <xf numFmtId="0" fontId="8" fillId="8" borderId="0" xfId="0" applyFont="1" applyFill="1" applyAlignment="1">
      <alignment horizontal="left" vertical="center" indent="2"/>
    </xf>
    <xf numFmtId="3" fontId="8" fillId="5" borderId="0" xfId="0" applyNumberFormat="1" applyFont="1" applyFill="1" applyAlignment="1">
      <alignment horizontal="center" vertical="center"/>
    </xf>
    <xf numFmtId="0" fontId="16" fillId="0" borderId="0" xfId="0" applyFont="1" applyAlignment="1">
      <alignment horizontal="left" vertical="center" indent="1"/>
    </xf>
    <xf numFmtId="0" fontId="11"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wrapText="1"/>
    </xf>
    <xf numFmtId="0" fontId="16" fillId="9" borderId="0" xfId="0" applyFont="1" applyFill="1" applyAlignment="1">
      <alignment horizontal="left" vertical="center" wrapText="1"/>
    </xf>
    <xf numFmtId="0" fontId="13" fillId="9" borderId="11" xfId="0" applyFont="1" applyFill="1" applyBorder="1" applyAlignment="1">
      <alignment vertical="center"/>
    </xf>
    <xf numFmtId="3" fontId="4" fillId="9" borderId="0" xfId="0" applyNumberFormat="1" applyFont="1" applyFill="1" applyAlignment="1">
      <alignment horizontal="center" vertical="center"/>
    </xf>
    <xf numFmtId="0" fontId="13" fillId="9" borderId="0" xfId="0" applyFont="1" applyFill="1" applyAlignment="1">
      <alignment horizontal="center" vertical="center"/>
    </xf>
    <xf numFmtId="0" fontId="13" fillId="9" borderId="0" xfId="0" applyFont="1"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0" fontId="0" fillId="9" borderId="0" xfId="0" applyFill="1" applyAlignment="1">
      <alignment vertical="center"/>
    </xf>
    <xf numFmtId="0" fontId="0" fillId="9" borderId="0" xfId="0" applyFill="1" applyAlignment="1">
      <alignment horizontal="right" vertical="center"/>
    </xf>
    <xf numFmtId="0" fontId="25" fillId="9" borderId="0" xfId="0" applyFont="1" applyFill="1" applyAlignment="1">
      <alignment horizontal="left" vertical="center" wrapText="1"/>
    </xf>
    <xf numFmtId="0" fontId="8" fillId="9" borderId="11" xfId="0" applyFont="1" applyFill="1" applyBorder="1" applyAlignment="1">
      <alignment vertical="center"/>
    </xf>
    <xf numFmtId="0" fontId="8" fillId="9" borderId="0" xfId="0" applyFont="1" applyFill="1" applyAlignment="1">
      <alignment horizontal="center" vertical="center"/>
    </xf>
    <xf numFmtId="0" fontId="8" fillId="9" borderId="0" xfId="0" applyFont="1" applyFill="1" applyAlignment="1">
      <alignment vertical="center"/>
    </xf>
    <xf numFmtId="0" fontId="0" fillId="9" borderId="13" xfId="0" applyFill="1" applyBorder="1" applyAlignment="1">
      <alignment horizontal="center" vertical="center" wrapText="1"/>
    </xf>
    <xf numFmtId="0" fontId="12" fillId="9" borderId="13" xfId="0" applyFont="1" applyFill="1" applyBorder="1" applyAlignment="1">
      <alignment horizontal="left" vertical="center"/>
    </xf>
    <xf numFmtId="0" fontId="12" fillId="9" borderId="0" xfId="0" applyFont="1" applyFill="1" applyAlignment="1">
      <alignment horizontal="right" vertical="center"/>
    </xf>
    <xf numFmtId="0" fontId="12" fillId="9" borderId="13" xfId="0" applyFont="1" applyFill="1" applyBorder="1" applyAlignment="1">
      <alignment horizontal="center" vertical="center" wrapText="1"/>
    </xf>
    <xf numFmtId="0" fontId="25" fillId="9" borderId="0" xfId="0" applyFont="1" applyFill="1" applyAlignment="1">
      <alignment vertical="center" wrapText="1"/>
    </xf>
    <xf numFmtId="0" fontId="0" fillId="9" borderId="13" xfId="0" applyFill="1" applyBorder="1" applyAlignment="1">
      <alignment vertical="center"/>
    </xf>
    <xf numFmtId="0" fontId="12" fillId="9" borderId="0" xfId="0" applyFont="1" applyFill="1" applyAlignment="1">
      <alignment horizontal="left" vertical="center" wrapText="1"/>
    </xf>
    <xf numFmtId="0" fontId="12" fillId="9" borderId="13" xfId="0" applyFont="1" applyFill="1" applyBorder="1" applyAlignment="1">
      <alignment vertical="center"/>
    </xf>
    <xf numFmtId="0" fontId="12" fillId="0" borderId="7" xfId="0" applyFont="1" applyBorder="1" applyAlignment="1">
      <alignment horizontal="center" vertical="center"/>
    </xf>
    <xf numFmtId="0" fontId="0" fillId="5" borderId="0" xfId="0" applyFill="1" applyAlignment="1">
      <alignment vertical="top"/>
    </xf>
    <xf numFmtId="0" fontId="12" fillId="0" borderId="16" xfId="0" applyFont="1" applyBorder="1" applyAlignment="1">
      <alignment horizontal="left" vertical="center"/>
    </xf>
    <xf numFmtId="0" fontId="8" fillId="0" borderId="0" xfId="0" applyFont="1" applyAlignment="1">
      <alignment horizontal="center" wrapText="1"/>
    </xf>
    <xf numFmtId="0" fontId="8" fillId="0" borderId="0" xfId="0" applyFont="1"/>
    <xf numFmtId="0" fontId="8" fillId="0" borderId="0" xfId="0" applyFont="1" applyAlignment="1">
      <alignment horizontal="right" wrapText="1"/>
    </xf>
    <xf numFmtId="3" fontId="8" fillId="0" borderId="0" xfId="0" applyNumberFormat="1" applyFont="1" applyAlignment="1">
      <alignment horizontal="right"/>
    </xf>
    <xf numFmtId="3" fontId="8" fillId="5" borderId="1" xfId="0" applyNumberFormat="1" applyFont="1" applyFill="1" applyBorder="1" applyAlignment="1">
      <alignment horizontal="right"/>
    </xf>
    <xf numFmtId="0" fontId="11" fillId="0" borderId="0" xfId="0" applyFont="1" applyAlignment="1">
      <alignment vertical="center"/>
    </xf>
    <xf numFmtId="0" fontId="20" fillId="0" borderId="0" xfId="0" applyFont="1"/>
    <xf numFmtId="0" fontId="10" fillId="0" borderId="0" xfId="0" applyFont="1" applyAlignment="1">
      <alignment vertical="center"/>
    </xf>
    <xf numFmtId="0" fontId="10" fillId="0" borderId="0" xfId="0" applyFont="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left" wrapText="1"/>
    </xf>
    <xf numFmtId="0" fontId="3" fillId="0" borderId="1" xfId="0" applyFont="1" applyBorder="1" applyAlignment="1">
      <alignment horizontal="right" wrapText="1"/>
    </xf>
    <xf numFmtId="0" fontId="3" fillId="0" borderId="1" xfId="0" applyFont="1" applyBorder="1" applyAlignment="1">
      <alignment horizontal="right"/>
    </xf>
    <xf numFmtId="0" fontId="4" fillId="0" borderId="1" xfId="0" applyFont="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3" fontId="3" fillId="0" borderId="1" xfId="0" applyNumberFormat="1" applyFont="1" applyBorder="1" applyAlignment="1">
      <alignment horizontal="right"/>
    </xf>
    <xf numFmtId="9" fontId="0" fillId="0" borderId="17" xfId="2" applyFont="1" applyFill="1" applyBorder="1" applyAlignment="1">
      <alignment horizontal="right"/>
    </xf>
    <xf numFmtId="3" fontId="0" fillId="0" borderId="17" xfId="0" applyNumberFormat="1" applyBorder="1" applyAlignment="1">
      <alignment horizontal="right"/>
    </xf>
    <xf numFmtId="167" fontId="0" fillId="0" borderId="17" xfId="2" applyNumberFormat="1" applyFont="1" applyFill="1" applyBorder="1" applyAlignment="1">
      <alignment horizontal="right"/>
    </xf>
    <xf numFmtId="9" fontId="0" fillId="0" borderId="18" xfId="2" applyFont="1" applyFill="1" applyBorder="1" applyAlignment="1">
      <alignment horizontal="right"/>
    </xf>
    <xf numFmtId="3" fontId="0" fillId="0" borderId="18" xfId="0" applyNumberFormat="1" applyBorder="1" applyAlignment="1">
      <alignment horizontal="right"/>
    </xf>
    <xf numFmtId="167" fontId="0" fillId="0" borderId="18" xfId="2" applyNumberFormat="1" applyFont="1" applyFill="1" applyBorder="1" applyAlignment="1">
      <alignment horizontal="right"/>
    </xf>
    <xf numFmtId="9" fontId="0" fillId="0" borderId="19" xfId="2" applyFont="1" applyFill="1" applyBorder="1" applyAlignment="1">
      <alignment horizontal="right"/>
    </xf>
    <xf numFmtId="3" fontId="0" fillId="0" borderId="19" xfId="0" applyNumberFormat="1" applyBorder="1" applyAlignment="1">
      <alignment horizontal="right"/>
    </xf>
    <xf numFmtId="167" fontId="0" fillId="0" borderId="19" xfId="2" applyNumberFormat="1" applyFont="1" applyFill="1" applyBorder="1" applyAlignment="1">
      <alignment horizontal="right"/>
    </xf>
    <xf numFmtId="0" fontId="3" fillId="0" borderId="20" xfId="0" applyFont="1" applyBorder="1" applyAlignment="1">
      <alignment horizontal="right" wrapText="1"/>
    </xf>
    <xf numFmtId="0" fontId="3" fillId="0" borderId="21" xfId="0" applyFont="1" applyBorder="1" applyAlignment="1">
      <alignment horizontal="right" wrapText="1"/>
    </xf>
    <xf numFmtId="3" fontId="0" fillId="0" borderId="22" xfId="0" applyNumberFormat="1" applyBorder="1" applyAlignment="1">
      <alignment horizontal="right"/>
    </xf>
    <xf numFmtId="9" fontId="0" fillId="0" borderId="23" xfId="2" applyFont="1" applyFill="1" applyBorder="1" applyAlignment="1">
      <alignment horizontal="right"/>
    </xf>
    <xf numFmtId="3" fontId="0" fillId="0" borderId="24" xfId="0" applyNumberFormat="1" applyBorder="1" applyAlignment="1">
      <alignment horizontal="right"/>
    </xf>
    <xf numFmtId="9" fontId="0" fillId="0" borderId="25" xfId="2" applyFont="1" applyFill="1" applyBorder="1" applyAlignment="1">
      <alignment horizontal="right"/>
    </xf>
    <xf numFmtId="3" fontId="0" fillId="0" borderId="26" xfId="0" applyNumberFormat="1" applyBorder="1" applyAlignment="1">
      <alignment horizontal="right"/>
    </xf>
    <xf numFmtId="9" fontId="0" fillId="0" borderId="27" xfId="2" applyFont="1" applyFill="1" applyBorder="1" applyAlignment="1">
      <alignment horizontal="right"/>
    </xf>
    <xf numFmtId="3" fontId="3" fillId="0" borderId="20" xfId="0" applyNumberFormat="1" applyFont="1" applyBorder="1" applyAlignment="1">
      <alignment horizontal="right"/>
    </xf>
    <xf numFmtId="9" fontId="3" fillId="0" borderId="21" xfId="2" applyFont="1" applyBorder="1" applyAlignment="1">
      <alignment horizontal="right"/>
    </xf>
    <xf numFmtId="0" fontId="3" fillId="0" borderId="21" xfId="0" applyFont="1" applyBorder="1" applyAlignment="1">
      <alignment horizontal="right"/>
    </xf>
    <xf numFmtId="9" fontId="0" fillId="0" borderId="17" xfId="2" quotePrefix="1" applyFont="1" applyFill="1" applyBorder="1" applyAlignment="1">
      <alignment horizontal="right"/>
    </xf>
    <xf numFmtId="9" fontId="0" fillId="0" borderId="18" xfId="2" quotePrefix="1" applyFont="1" applyFill="1" applyBorder="1" applyAlignment="1">
      <alignment horizontal="right"/>
    </xf>
    <xf numFmtId="0" fontId="0" fillId="12" borderId="8" xfId="0" applyFill="1" applyBorder="1"/>
    <xf numFmtId="0" fontId="0" fillId="12" borderId="6" xfId="0" applyFill="1" applyBorder="1"/>
    <xf numFmtId="0" fontId="3" fillId="12" borderId="9" xfId="0" applyFont="1" applyFill="1" applyBorder="1"/>
    <xf numFmtId="168" fontId="12" fillId="0" borderId="1" xfId="0" applyNumberFormat="1" applyFont="1" applyBorder="1" applyAlignment="1">
      <alignment horizontal="center" vertical="center"/>
    </xf>
    <xf numFmtId="0" fontId="12" fillId="4" borderId="1" xfId="0" applyFont="1" applyFill="1" applyBorder="1" applyAlignment="1">
      <alignment horizontal="left" vertical="center" indent="2"/>
    </xf>
    <xf numFmtId="0" fontId="12" fillId="0" borderId="8" xfId="0" applyFont="1" applyBorder="1" applyAlignment="1">
      <alignment horizontal="center" vertical="center"/>
    </xf>
    <xf numFmtId="0" fontId="31" fillId="5" borderId="0" xfId="0" applyFont="1" applyFill="1" applyAlignment="1">
      <alignment horizontal="left" vertical="center"/>
    </xf>
    <xf numFmtId="0" fontId="9" fillId="0" borderId="0" xfId="0" applyFont="1" applyAlignment="1">
      <alignment horizontal="center" vertical="center" wrapText="1"/>
    </xf>
    <xf numFmtId="0" fontId="27" fillId="0" borderId="0" xfId="0" applyFont="1" applyAlignment="1">
      <alignment horizontal="left" vertical="center" wrapText="1"/>
    </xf>
    <xf numFmtId="0" fontId="10" fillId="0" borderId="11" xfId="0" applyFont="1" applyBorder="1" applyAlignment="1">
      <alignment vertical="center"/>
    </xf>
    <xf numFmtId="3" fontId="6" fillId="0" borderId="0" xfId="0" applyNumberFormat="1" applyFont="1" applyAlignment="1">
      <alignment horizontal="center" vertical="center"/>
    </xf>
    <xf numFmtId="0" fontId="9" fillId="12" borderId="0" xfId="0" applyFont="1" applyFill="1" applyAlignment="1">
      <alignment horizontal="center" vertical="center"/>
    </xf>
    <xf numFmtId="0" fontId="9" fillId="12" borderId="0" xfId="0" applyFont="1" applyFill="1" applyAlignment="1">
      <alignment horizontal="left" vertical="center"/>
    </xf>
    <xf numFmtId="0" fontId="9" fillId="12" borderId="0" xfId="0" applyFont="1" applyFill="1" applyAlignment="1">
      <alignment vertical="center"/>
    </xf>
    <xf numFmtId="0" fontId="4" fillId="12" borderId="0" xfId="0" applyFont="1" applyFill="1" applyAlignment="1">
      <alignment horizontal="right" vertical="center"/>
    </xf>
    <xf numFmtId="3" fontId="4" fillId="12" borderId="1" xfId="0" applyNumberFormat="1" applyFont="1" applyFill="1" applyBorder="1" applyAlignment="1">
      <alignment horizontal="center" vertical="center"/>
    </xf>
    <xf numFmtId="0" fontId="4" fillId="12" borderId="0" xfId="0" applyFont="1" applyFill="1" applyAlignment="1">
      <alignment horizontal="left" vertical="center"/>
    </xf>
    <xf numFmtId="0" fontId="12" fillId="12" borderId="0" xfId="0" applyFont="1" applyFill="1" applyAlignment="1">
      <alignment vertical="center"/>
    </xf>
    <xf numFmtId="2" fontId="3" fillId="0" borderId="1" xfId="2" applyNumberFormat="1" applyFont="1" applyBorder="1" applyAlignment="1">
      <alignment horizontal="righ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3" fillId="11" borderId="1" xfId="0" applyFont="1" applyFill="1" applyBorder="1" applyAlignment="1">
      <alignment horizontal="center" wrapText="1"/>
    </xf>
    <xf numFmtId="0" fontId="3" fillId="2" borderId="1" xfId="0" applyFont="1" applyFill="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xf>
    <xf numFmtId="0" fontId="3" fillId="10" borderId="1" xfId="0" applyFont="1" applyFill="1" applyBorder="1" applyAlignment="1">
      <alignment horizontal="center" wrapText="1"/>
    </xf>
    <xf numFmtId="0" fontId="3" fillId="8" borderId="1" xfId="0" applyFont="1" applyFill="1" applyBorder="1" applyAlignment="1">
      <alignment horizontal="center"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wrapText="1"/>
    </xf>
    <xf numFmtId="0" fontId="12" fillId="2" borderId="1" xfId="0" applyFont="1" applyFill="1" applyBorder="1" applyAlignment="1">
      <alignment horizontal="center" vertical="center"/>
    </xf>
  </cellXfs>
  <cellStyles count="4">
    <cellStyle name="Hyperlinkki" xfId="3" builtinId="8"/>
    <cellStyle name="Normaali" xfId="0" builtinId="0"/>
    <cellStyle name="Pilkku" xfId="1" builtinId="3"/>
    <cellStyle name="Prosenttia" xfId="2" builtinId="5"/>
  </cellStyles>
  <dxfs count="171">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2"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BDEE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'Kohdetiedot ja yhteenveto'!$F$19</c:f>
              <c:strCache>
                <c:ptCount val="1"/>
                <c:pt idx="0">
                  <c:v>Kokonais-
päästöt</c:v>
                </c:pt>
              </c:strCache>
            </c:strRef>
          </c:tx>
          <c:spPr>
            <a:solidFill>
              <a:schemeClr val="tx2"/>
            </a:solidFill>
            <a:ln>
              <a:noFill/>
            </a:ln>
            <a:effectLst/>
          </c:spPr>
          <c:invertIfNegative val="0"/>
          <c:cat>
            <c:strRef>
              <c:f>'Kohdetiedot ja yhteenveto'!$B$21:$B$27</c:f>
              <c:strCache>
                <c:ptCount val="7"/>
                <c:pt idx="0">
                  <c:v>Massanvaihto ja aumakäsittelyt:</c:v>
                </c:pt>
                <c:pt idx="1">
                  <c:v>Eristäminen:</c:v>
                </c:pt>
                <c:pt idx="2">
                  <c:v>Injektoinnit:</c:v>
                </c:pt>
                <c:pt idx="3">
                  <c:v>Termiset menetelmät:</c:v>
                </c:pt>
                <c:pt idx="4">
                  <c:v>Huokosilmakäsittely:</c:v>
                </c:pt>
                <c:pt idx="5">
                  <c:v>Fytoremediaatio:</c:v>
                </c:pt>
                <c:pt idx="6">
                  <c:v>Luontaisen hajoamisen seuranta:</c:v>
                </c:pt>
              </c:strCache>
            </c:strRef>
          </c:cat>
          <c:val>
            <c:numRef>
              <c:f>'Kohdetiedot ja yhteenveto'!$F$21:$F$27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85E-448E-ACB0-00BA7F6FC1ED}"/>
            </c:ext>
          </c:extLst>
        </c:ser>
        <c:dLbls>
          <c:showLegendKey val="0"/>
          <c:showVal val="0"/>
          <c:showCatName val="0"/>
          <c:showSerName val="0"/>
          <c:showPercent val="0"/>
          <c:showBubbleSize val="0"/>
        </c:dLbls>
        <c:gapWidth val="37"/>
        <c:axId val="91985536"/>
        <c:axId val="383495808"/>
      </c:barChart>
      <c:catAx>
        <c:axId val="9198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crossAx val="383495808"/>
        <c:crosses val="autoZero"/>
        <c:auto val="1"/>
        <c:lblAlgn val="ctr"/>
        <c:lblOffset val="100"/>
        <c:noMultiLvlLbl val="0"/>
      </c:catAx>
      <c:valAx>
        <c:axId val="383495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crossAx val="91985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8671611952861973E-2"/>
          <c:y val="3.3333333333333333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0.52329787457912458"/>
          <c:y val="8.1944444444444445E-2"/>
          <c:w val="0.42627314814814815"/>
          <c:h val="0.86250000000000004"/>
        </c:manualLayout>
      </c:layout>
      <c:pieChart>
        <c:varyColors val="1"/>
        <c:ser>
          <c:idx val="0"/>
          <c:order val="0"/>
          <c:tx>
            <c:v>Päästöjen jakautuminen</c:v>
          </c:tx>
          <c:dPt>
            <c:idx val="0"/>
            <c:bubble3D val="0"/>
            <c:spPr>
              <a:solidFill>
                <a:schemeClr val="accent4"/>
              </a:solidFill>
              <a:ln w="15875" cap="rnd">
                <a:solidFill>
                  <a:schemeClr val="lt1"/>
                </a:solidFill>
              </a:ln>
              <a:effectLst/>
            </c:spPr>
            <c:extLst>
              <c:ext xmlns:c16="http://schemas.microsoft.com/office/drawing/2014/chart" uri="{C3380CC4-5D6E-409C-BE32-E72D297353CC}">
                <c16:uniqueId val="{00000001-E20E-4092-AD28-4F51318DC870}"/>
              </c:ext>
            </c:extLst>
          </c:dPt>
          <c:dPt>
            <c:idx val="1"/>
            <c:bubble3D val="0"/>
            <c:spPr>
              <a:solidFill>
                <a:schemeClr val="bg2">
                  <a:lumMod val="60000"/>
                  <a:lumOff val="40000"/>
                </a:schemeClr>
              </a:solidFill>
              <a:ln w="19050">
                <a:solidFill>
                  <a:schemeClr val="lt1"/>
                </a:solidFill>
              </a:ln>
              <a:effectLst/>
            </c:spPr>
            <c:extLst>
              <c:ext xmlns:c16="http://schemas.microsoft.com/office/drawing/2014/chart" uri="{C3380CC4-5D6E-409C-BE32-E72D297353CC}">
                <c16:uniqueId val="{00000003-E20E-4092-AD28-4F51318DC870}"/>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E20E-4092-AD28-4F51318DC870}"/>
              </c:ext>
            </c:extLst>
          </c:dPt>
          <c:dPt>
            <c:idx val="3"/>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07-E20E-4092-AD28-4F51318DC870}"/>
              </c:ext>
            </c:extLst>
          </c:dPt>
          <c:dPt>
            <c:idx val="4"/>
            <c:bubble3D val="0"/>
            <c:spPr>
              <a:solidFill>
                <a:schemeClr val="tx1"/>
              </a:solidFill>
              <a:ln w="19050">
                <a:solidFill>
                  <a:schemeClr val="lt1"/>
                </a:solidFill>
              </a:ln>
              <a:effectLst/>
            </c:spPr>
            <c:extLst>
              <c:ext xmlns:c16="http://schemas.microsoft.com/office/drawing/2014/chart" uri="{C3380CC4-5D6E-409C-BE32-E72D297353CC}">
                <c16:uniqueId val="{00000009-E20E-4092-AD28-4F51318DC870}"/>
              </c:ext>
            </c:extLst>
          </c:dPt>
          <c:dPt>
            <c:idx val="5"/>
            <c:bubble3D val="0"/>
            <c:spPr>
              <a:solidFill>
                <a:srgbClr val="00B0F0"/>
              </a:solidFill>
              <a:ln w="19050">
                <a:solidFill>
                  <a:schemeClr val="lt1"/>
                </a:solidFill>
              </a:ln>
              <a:effectLst/>
            </c:spPr>
            <c:extLst>
              <c:ext xmlns:c16="http://schemas.microsoft.com/office/drawing/2014/chart" uri="{C3380CC4-5D6E-409C-BE32-E72D297353CC}">
                <c16:uniqueId val="{0000000B-E20E-4092-AD28-4F51318DC870}"/>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effectLst>
                      <a:glow rad="76200">
                        <a:schemeClr val="bg1"/>
                      </a:glow>
                    </a:effectLst>
                    <a:latin typeface="+mn-lt"/>
                    <a:ea typeface="+mn-ea"/>
                    <a:cs typeface="+mn-cs"/>
                  </a:defRPr>
                </a:pPr>
                <a:endParaRPr lang="fi-FI"/>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('Kohdetiedot ja yhteenveto'!$H$19,'Kohdetiedot ja yhteenveto'!$J$19,'Kohdetiedot ja yhteenveto'!$L$19,'Kohdetiedot ja yhteenveto'!$N$19,'Kohdetiedot ja yhteenveto'!$P$19,'Kohdetiedot ja yhteenveto'!$R$19)</c:f>
              <c:strCache>
                <c:ptCount val="6"/>
                <c:pt idx="0">
                  <c:v>Materiaalit</c:v>
                </c:pt>
                <c:pt idx="1">
                  <c:v>Kuljetukset</c:v>
                </c:pt>
                <c:pt idx="2">
                  <c:v>Työkoneet</c:v>
                </c:pt>
                <c:pt idx="3">
                  <c:v>Puhdistuksen energiankäyttö
(muut kuin työkoneet)</c:v>
                </c:pt>
                <c:pt idx="4">
                  <c:v>Jätteet</c:v>
                </c:pt>
                <c:pt idx="5">
                  <c:v>Muut (ml. vesien viemäröinti ja työasiamatkat)</c:v>
                </c:pt>
              </c:strCache>
            </c:strRef>
          </c:cat>
          <c:val>
            <c:numRef>
              <c:f>('Kohdetiedot ja yhteenveto'!$H$28,'Kohdetiedot ja yhteenveto'!$J$28,'Kohdetiedot ja yhteenveto'!$L$28,'Kohdetiedot ja yhteenveto'!$N$28,'Kohdetiedot ja yhteenveto'!$P$28,'Kohdetiedot ja yhteenveto'!$R$28)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E20E-4092-AD28-4F51318DC870}"/>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2.8350904882154884E-2"/>
          <c:y val="0.20929046369203852"/>
          <c:w val="0.45985406144781144"/>
          <c:h val="0.62864129483814524"/>
        </c:manualLayout>
      </c:layout>
      <c:overlay val="0"/>
      <c:spPr>
        <a:noFill/>
        <a:ln>
          <a:noFill/>
        </a:ln>
        <a:effectLst>
          <a:outerShdw blurRad="50800" dist="50800" dir="5400000" sx="1000" sy="1000" algn="ctr" rotWithShape="0">
            <a:srgbClr val="000000">
              <a:alpha val="43137"/>
            </a:srgbClr>
          </a:outerShdw>
        </a:effectLst>
      </c:spPr>
      <c:txPr>
        <a:bodyPr rot="0" spcFirstLastPara="1" vertOverflow="ellipsis" vert="horz" wrap="square" anchor="ctr" anchorCtr="1"/>
        <a:lstStyle/>
        <a:p>
          <a:pPr>
            <a:defRPr sz="1600" b="0" i="0" u="none" strike="noStrike" kern="1200" spc="-5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3810000</xdr:colOff>
      <xdr:row>0</xdr:row>
      <xdr:rowOff>76200</xdr:rowOff>
    </xdr:from>
    <xdr:to>
      <xdr:col>2</xdr:col>
      <xdr:colOff>6580719</xdr:colOff>
      <xdr:row>3</xdr:row>
      <xdr:rowOff>95250</xdr:rowOff>
    </xdr:to>
    <xdr:pic>
      <xdr:nvPicPr>
        <xdr:cNvPr id="3" name="Picture 2">
          <a:extLst>
            <a:ext uri="{FF2B5EF4-FFF2-40B4-BE49-F238E27FC236}">
              <a16:creationId xmlns:a16="http://schemas.microsoft.com/office/drawing/2014/main" id="{7443F78D-0681-7FFE-69A7-C70D077868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76200"/>
          <a:ext cx="2770719" cy="971550"/>
        </a:xfrm>
        <a:prstGeom prst="rect">
          <a:avLst/>
        </a:prstGeom>
      </xdr:spPr>
    </xdr:pic>
    <xdr:clientData/>
  </xdr:twoCellAnchor>
  <xdr:twoCellAnchor editAs="oneCell">
    <xdr:from>
      <xdr:col>2</xdr:col>
      <xdr:colOff>6962776</xdr:colOff>
      <xdr:row>1</xdr:row>
      <xdr:rowOff>57150</xdr:rowOff>
    </xdr:from>
    <xdr:to>
      <xdr:col>2</xdr:col>
      <xdr:colOff>9191626</xdr:colOff>
      <xdr:row>2</xdr:row>
      <xdr:rowOff>363884</xdr:rowOff>
    </xdr:to>
    <xdr:pic>
      <xdr:nvPicPr>
        <xdr:cNvPr id="5" name="Picture 4">
          <a:extLst>
            <a:ext uri="{FF2B5EF4-FFF2-40B4-BE49-F238E27FC236}">
              <a16:creationId xmlns:a16="http://schemas.microsoft.com/office/drawing/2014/main" id="{E461B161-F09F-DF63-AC3B-23DA3D99F5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48676" y="238125"/>
          <a:ext cx="2228850" cy="6877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133348</xdr:colOff>
      <xdr:row>29</xdr:row>
      <xdr:rowOff>9523</xdr:rowOff>
    </xdr:from>
    <xdr:to>
      <xdr:col>9</xdr:col>
      <xdr:colOff>304648</xdr:colOff>
      <xdr:row>54</xdr:row>
      <xdr:rowOff>93148</xdr:rowOff>
    </xdr:to>
    <xdr:graphicFrame macro="">
      <xdr:nvGraphicFramePr>
        <xdr:cNvPr id="2" name="Chart 1">
          <a:extLst>
            <a:ext uri="{FF2B5EF4-FFF2-40B4-BE49-F238E27FC236}">
              <a16:creationId xmlns:a16="http://schemas.microsoft.com/office/drawing/2014/main" id="{A6B8392B-2B24-4716-A100-C3196A6EA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428625</xdr:colOff>
      <xdr:row>29</xdr:row>
      <xdr:rowOff>9523</xdr:rowOff>
    </xdr:from>
    <xdr:to>
      <xdr:col>18</xdr:col>
      <xdr:colOff>847575</xdr:colOff>
      <xdr:row>54</xdr:row>
      <xdr:rowOff>93148</xdr:rowOff>
    </xdr:to>
    <xdr:graphicFrame macro="">
      <xdr:nvGraphicFramePr>
        <xdr:cNvPr id="3" name="Chart 2">
          <a:extLst>
            <a:ext uri="{FF2B5EF4-FFF2-40B4-BE49-F238E27FC236}">
              <a16:creationId xmlns:a16="http://schemas.microsoft.com/office/drawing/2014/main" id="{DB884B39-D2E9-4D2B-85CC-B91EC2E79D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TemaELY_2020">
  <a:themeElements>
    <a:clrScheme name="ELYn värit">
      <a:dk1>
        <a:sysClr val="windowText" lastClr="000000"/>
      </a:dk1>
      <a:lt1>
        <a:sysClr val="window" lastClr="FFFFFF"/>
      </a:lt1>
      <a:dk2>
        <a:srgbClr val="003883"/>
      </a:dk2>
      <a:lt2>
        <a:srgbClr val="5A8117"/>
      </a:lt2>
      <a:accent1>
        <a:srgbClr val="BE5A0F"/>
      </a:accent1>
      <a:accent2>
        <a:srgbClr val="4460A5"/>
      </a:accent2>
      <a:accent3>
        <a:srgbClr val="363534"/>
      </a:accent3>
      <a:accent4>
        <a:srgbClr val="D9640C"/>
      </a:accent4>
      <a:accent5>
        <a:srgbClr val="FFD100"/>
      </a:accent5>
      <a:accent6>
        <a:srgbClr val="B6BF00"/>
      </a:accent6>
      <a:hlink>
        <a:srgbClr val="0000FF"/>
      </a:hlink>
      <a:folHlink>
        <a:srgbClr val="800080"/>
      </a:folHlink>
    </a:clrScheme>
    <a:fontScheme name="Office, klassinen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co2data.fi/infra/reports/INFRA%20muovituotteet%20R01.04.pdf" TargetMode="External"/><Relationship Id="rId3" Type="http://schemas.openxmlformats.org/officeDocument/2006/relationships/hyperlink" Target="https://co2data.fi/infra/reports/INFRA%20muovituotteet%20R01.04.pdf" TargetMode="External"/><Relationship Id="rId7" Type="http://schemas.openxmlformats.org/officeDocument/2006/relationships/hyperlink" Target="https://co2data.fi/infra/reports/INFRA%20muovituotteet%20R01.04.pdf" TargetMode="External"/><Relationship Id="rId2" Type="http://schemas.openxmlformats.org/officeDocument/2006/relationships/hyperlink" Target="https://co2data.fi/infra/reports/INFRA%20muovituotteet%20R01.04.pdf" TargetMode="External"/><Relationship Id="rId1" Type="http://schemas.openxmlformats.org/officeDocument/2006/relationships/hyperlink" Target="https://co2data.fi/infra/reports/INFRA%20kuivatuotteet%20R01.03.pdf" TargetMode="External"/><Relationship Id="rId6" Type="http://schemas.openxmlformats.org/officeDocument/2006/relationships/hyperlink" Target="https://co2data.fi/infra/reports/INFRA%20muovituotteet%20R01.04.pdf" TargetMode="External"/><Relationship Id="rId5" Type="http://schemas.openxmlformats.org/officeDocument/2006/relationships/hyperlink" Target="https://co2data.fi/infra/reports/INFRA%20muovituotteet%20R01.04.pdf" TargetMode="External"/><Relationship Id="rId10" Type="http://schemas.openxmlformats.org/officeDocument/2006/relationships/vmlDrawing" Target="../drawings/vmlDrawing16.vml"/><Relationship Id="rId4" Type="http://schemas.openxmlformats.org/officeDocument/2006/relationships/hyperlink" Target="https://co2data.fi/infra/reports/INFRA%20muovituotteet%20R01.04.pdf" TargetMode="External"/><Relationship Id="rId9"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18.vml"/><Relationship Id="rId3" Type="http://schemas.openxmlformats.org/officeDocument/2006/relationships/hyperlink" Target="https://www.fingrid.fi/sahkomarkkinainformaatio/co2/" TargetMode="External"/><Relationship Id="rId7" Type="http://schemas.openxmlformats.org/officeDocument/2006/relationships/printerSettings" Target="../printerSettings/printerSettings12.bin"/><Relationship Id="rId2" Type="http://schemas.openxmlformats.org/officeDocument/2006/relationships/hyperlink" Target="https://www.fingrid.fi/sahkomarkkinainformaatio/co2/" TargetMode="External"/><Relationship Id="rId1" Type="http://schemas.openxmlformats.org/officeDocument/2006/relationships/hyperlink" Target="https://statdb.luke.fi/PxWeb/pxweb/fi/LUKE/LUKE__04%20Metsa__06%20Metsavarat/1.22_Puuston_keskitilavuus_metsamaalla.px/" TargetMode="External"/><Relationship Id="rId6" Type="http://schemas.openxmlformats.org/officeDocument/2006/relationships/hyperlink" Target="https://aaltodoc.aalto.fi/server/api/core/bitstreams/12d1684b-c5ff-4c52-b68d-ada7dcc48bdd/content" TargetMode="External"/><Relationship Id="rId5" Type="http://schemas.openxmlformats.org/officeDocument/2006/relationships/hyperlink" Target="https://autokalkulaattori.fi/" TargetMode="External"/><Relationship Id="rId4" Type="http://schemas.openxmlformats.org/officeDocument/2006/relationships/hyperlink" Target="https://energiavirasto.fi/energian-alkupera" TargetMode="Externa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A3F-D6AC-418E-BE7D-3E5FDC346D3C}">
  <sheetPr codeName="Sheet1">
    <tabColor theme="4" tint="0.79998168889431442"/>
  </sheetPr>
  <dimension ref="B2:BG44"/>
  <sheetViews>
    <sheetView tabSelected="1" zoomScaleNormal="100" workbookViewId="0">
      <pane xSplit="1" ySplit="3" topLeftCell="B4" activePane="bottomRight" state="frozen"/>
      <selection pane="topRight" activeCell="B1" sqref="B1"/>
      <selection pane="bottomLeft" activeCell="A3" sqref="A3"/>
      <selection pane="bottomRight" activeCell="B10" sqref="B10:C10"/>
    </sheetView>
  </sheetViews>
  <sheetFormatPr defaultRowHeight="14" x14ac:dyDescent="0.3"/>
  <cols>
    <col min="1" max="1" width="10.5" customWidth="1"/>
    <col min="2" max="2" width="9" customWidth="1"/>
    <col min="3" max="3" width="128.83203125" customWidth="1"/>
  </cols>
  <sheetData>
    <row r="2" spans="2:59" ht="30" x14ac:dyDescent="0.3">
      <c r="B2" s="8" t="s">
        <v>714</v>
      </c>
    </row>
    <row r="3" spans="2:59" s="25" customFormat="1" ht="30" x14ac:dyDescent="0.3">
      <c r="B3" s="8" t="s">
        <v>710</v>
      </c>
      <c r="C3" s="27"/>
      <c r="D3" s="85"/>
      <c r="G3" s="27"/>
      <c r="H3" s="85"/>
      <c r="J3" s="26"/>
      <c r="O3" s="253"/>
      <c r="R3" s="27"/>
      <c r="T3" s="331"/>
      <c r="U3" s="332"/>
      <c r="V3" s="332"/>
      <c r="W3" s="332"/>
      <c r="X3" s="332"/>
      <c r="Y3" s="332"/>
      <c r="Z3" s="332"/>
      <c r="AA3" s="332"/>
      <c r="AB3" s="332"/>
      <c r="AC3" s="332"/>
      <c r="AD3" s="332"/>
      <c r="AE3" s="332"/>
      <c r="AF3" s="332"/>
      <c r="AG3" s="332"/>
      <c r="AH3" s="332"/>
      <c r="AI3" s="332"/>
      <c r="AJ3" s="332"/>
      <c r="AK3" s="332"/>
      <c r="AL3" s="332"/>
      <c r="AM3" s="332"/>
      <c r="AN3" s="332"/>
      <c r="AO3" s="332"/>
      <c r="AP3" s="331"/>
      <c r="AQ3" s="331"/>
      <c r="AR3" s="331"/>
      <c r="AS3" s="331"/>
      <c r="AT3" s="331"/>
      <c r="AU3" s="331"/>
      <c r="AV3" s="331"/>
      <c r="AW3" s="331"/>
      <c r="AX3" s="331"/>
      <c r="AY3" s="331"/>
      <c r="AZ3" s="331"/>
      <c r="BA3" s="331"/>
      <c r="BB3" s="331"/>
      <c r="BC3" s="331"/>
      <c r="BD3" s="331"/>
      <c r="BE3" s="331"/>
      <c r="BF3" s="331"/>
      <c r="BG3" s="331"/>
    </row>
    <row r="5" spans="2:59" ht="84" customHeight="1" x14ac:dyDescent="0.3">
      <c r="B5" s="383" t="s">
        <v>711</v>
      </c>
      <c r="C5" s="383"/>
    </row>
    <row r="8" spans="2:59" s="298" customFormat="1" ht="18" x14ac:dyDescent="0.3">
      <c r="B8" s="295" t="s">
        <v>28</v>
      </c>
      <c r="C8" s="296"/>
      <c r="D8" s="297"/>
      <c r="G8" s="296"/>
      <c r="H8" s="297"/>
      <c r="K8" s="296"/>
      <c r="L8" s="296"/>
      <c r="M8" s="297"/>
      <c r="N8" s="297"/>
      <c r="O8" s="300"/>
      <c r="Q8" s="304"/>
      <c r="S8" s="303"/>
      <c r="T8" s="303"/>
      <c r="U8" s="303"/>
      <c r="V8" s="303"/>
      <c r="W8" s="303"/>
      <c r="X8" s="303"/>
      <c r="Y8" s="303"/>
      <c r="Z8" s="303"/>
      <c r="AA8" s="303"/>
      <c r="AB8" s="303"/>
      <c r="AC8" s="303"/>
      <c r="AD8" s="303"/>
      <c r="AE8" s="303"/>
      <c r="AF8" s="303"/>
      <c r="AG8" s="303"/>
      <c r="AH8" s="303"/>
      <c r="AI8" s="303"/>
      <c r="AJ8" s="303"/>
      <c r="AK8" s="303"/>
      <c r="AL8" s="303"/>
      <c r="AM8" s="303"/>
      <c r="AN8" s="304"/>
      <c r="AO8" s="304"/>
      <c r="AP8" s="304"/>
      <c r="AQ8" s="304"/>
      <c r="AR8" s="304"/>
      <c r="AS8" s="304"/>
      <c r="AT8" s="304"/>
      <c r="AU8" s="304"/>
      <c r="AV8" s="304"/>
      <c r="AW8" s="304"/>
      <c r="AX8" s="304"/>
      <c r="AY8" s="304"/>
      <c r="AZ8" s="304"/>
      <c r="BA8" s="304"/>
      <c r="BB8" s="304"/>
      <c r="BC8" s="304"/>
      <c r="BD8" s="304"/>
      <c r="BE8" s="304"/>
    </row>
    <row r="10" spans="2:59" ht="61.5" customHeight="1" x14ac:dyDescent="0.3">
      <c r="B10" s="384" t="s">
        <v>697</v>
      </c>
      <c r="C10" s="384"/>
    </row>
    <row r="11" spans="2:59" x14ac:dyDescent="0.3">
      <c r="B11" s="385" t="s">
        <v>699</v>
      </c>
      <c r="C11" s="385"/>
    </row>
    <row r="12" spans="2:59" x14ac:dyDescent="0.3">
      <c r="B12" s="385" t="s">
        <v>741</v>
      </c>
      <c r="C12" s="385"/>
    </row>
    <row r="16" spans="2:59" s="298" customFormat="1" ht="18" x14ac:dyDescent="0.3">
      <c r="B16" s="295" t="s">
        <v>27</v>
      </c>
      <c r="C16" s="296"/>
      <c r="D16" s="297"/>
      <c r="G16" s="296"/>
      <c r="H16" s="297"/>
      <c r="K16" s="296"/>
      <c r="L16" s="296"/>
      <c r="M16" s="297"/>
      <c r="N16" s="297"/>
      <c r="O16" s="300"/>
      <c r="Q16" s="304"/>
      <c r="S16" s="303"/>
      <c r="T16" s="303"/>
      <c r="U16" s="303"/>
      <c r="V16" s="303"/>
      <c r="W16" s="303"/>
      <c r="X16" s="303"/>
      <c r="Y16" s="303"/>
      <c r="Z16" s="303"/>
      <c r="AA16" s="303"/>
      <c r="AB16" s="303"/>
      <c r="AC16" s="303"/>
      <c r="AD16" s="303"/>
      <c r="AE16" s="303"/>
      <c r="AF16" s="303"/>
      <c r="AG16" s="303"/>
      <c r="AH16" s="303"/>
      <c r="AI16" s="303"/>
      <c r="AJ16" s="303"/>
      <c r="AK16" s="303"/>
      <c r="AL16" s="303"/>
      <c r="AM16" s="303"/>
      <c r="AN16" s="304"/>
      <c r="AO16" s="304"/>
      <c r="AP16" s="304"/>
      <c r="AQ16" s="304"/>
      <c r="AR16" s="304"/>
      <c r="AS16" s="304"/>
      <c r="AT16" s="304"/>
      <c r="AU16" s="304"/>
      <c r="AV16" s="304"/>
      <c r="AW16" s="304"/>
      <c r="AX16" s="304"/>
      <c r="AY16" s="304"/>
      <c r="AZ16" s="304"/>
      <c r="BA16" s="304"/>
      <c r="BB16" s="304"/>
      <c r="BC16" s="304"/>
      <c r="BD16" s="304"/>
      <c r="BE16" s="304"/>
    </row>
    <row r="18" spans="2:57" ht="16.5" customHeight="1" x14ac:dyDescent="0.3">
      <c r="B18" s="383" t="s">
        <v>744</v>
      </c>
      <c r="C18" s="383"/>
    </row>
    <row r="19" spans="2:57" ht="44.25" customHeight="1" x14ac:dyDescent="0.3">
      <c r="B19" s="384" t="s">
        <v>742</v>
      </c>
      <c r="C19" s="384"/>
    </row>
    <row r="20" spans="2:57" ht="44.25" customHeight="1" x14ac:dyDescent="0.3">
      <c r="B20" s="384" t="s">
        <v>703</v>
      </c>
      <c r="C20" s="384"/>
    </row>
    <row r="21" spans="2:57" ht="44.25" customHeight="1" x14ac:dyDescent="0.3">
      <c r="B21" s="384" t="s">
        <v>704</v>
      </c>
      <c r="C21" s="384"/>
    </row>
    <row r="22" spans="2:57" x14ac:dyDescent="0.3">
      <c r="B22" t="s">
        <v>708</v>
      </c>
    </row>
    <row r="24" spans="2:57" x14ac:dyDescent="0.3">
      <c r="B24" t="s">
        <v>700</v>
      </c>
    </row>
    <row r="25" spans="2:57" x14ac:dyDescent="0.3">
      <c r="B25" s="274"/>
      <c r="C25" t="s">
        <v>26</v>
      </c>
    </row>
    <row r="26" spans="2:57" x14ac:dyDescent="0.3">
      <c r="B26" s="7"/>
      <c r="C26" t="s">
        <v>701</v>
      </c>
    </row>
    <row r="27" spans="2:57" ht="15.5" x14ac:dyDescent="0.3">
      <c r="B27" s="50"/>
      <c r="C27" t="s">
        <v>702</v>
      </c>
    </row>
    <row r="30" spans="2:57" s="298" customFormat="1" ht="18" x14ac:dyDescent="0.3">
      <c r="B30" s="295" t="s">
        <v>705</v>
      </c>
      <c r="C30" s="296"/>
      <c r="D30" s="297"/>
      <c r="G30" s="296"/>
      <c r="H30" s="297"/>
      <c r="K30" s="296"/>
      <c r="L30" s="296"/>
      <c r="M30" s="297"/>
      <c r="N30" s="297"/>
      <c r="O30" s="300"/>
      <c r="Q30" s="304"/>
      <c r="S30" s="303"/>
      <c r="T30" s="303"/>
      <c r="U30" s="303"/>
      <c r="V30" s="303"/>
      <c r="W30" s="303"/>
      <c r="X30" s="303"/>
      <c r="Y30" s="303"/>
      <c r="Z30" s="303"/>
      <c r="AA30" s="303"/>
      <c r="AB30" s="303"/>
      <c r="AC30" s="303"/>
      <c r="AD30" s="303"/>
      <c r="AE30" s="303"/>
      <c r="AF30" s="303"/>
      <c r="AG30" s="303"/>
      <c r="AH30" s="303"/>
      <c r="AI30" s="303"/>
      <c r="AJ30" s="303"/>
      <c r="AK30" s="303"/>
      <c r="AL30" s="303"/>
      <c r="AM30" s="303"/>
      <c r="AN30" s="304"/>
      <c r="AO30" s="304"/>
      <c r="AP30" s="304"/>
      <c r="AQ30" s="304"/>
      <c r="AR30" s="304"/>
      <c r="AS30" s="304"/>
      <c r="AT30" s="304"/>
      <c r="AU30" s="304"/>
      <c r="AV30" s="304"/>
      <c r="AW30" s="304"/>
      <c r="AX30" s="304"/>
      <c r="AY30" s="304"/>
      <c r="AZ30" s="304"/>
      <c r="BA30" s="304"/>
      <c r="BB30" s="304"/>
      <c r="BC30" s="304"/>
      <c r="BD30" s="304"/>
      <c r="BE30" s="304"/>
    </row>
    <row r="31" spans="2:57" s="31" customFormat="1" ht="18" x14ac:dyDescent="0.3">
      <c r="B31" s="329"/>
      <c r="C31" s="34"/>
      <c r="D31" s="84"/>
      <c r="G31" s="34"/>
      <c r="H31" s="84"/>
      <c r="K31" s="34"/>
      <c r="L31" s="34"/>
      <c r="M31" s="84"/>
      <c r="N31" s="84"/>
      <c r="O31" s="255"/>
      <c r="Q31" s="56"/>
      <c r="S31" s="55"/>
      <c r="T31" s="55"/>
      <c r="U31" s="55"/>
      <c r="V31" s="55"/>
      <c r="W31" s="55"/>
      <c r="X31" s="55"/>
      <c r="Y31" s="55"/>
      <c r="Z31" s="55"/>
      <c r="AA31" s="55"/>
      <c r="AB31" s="55"/>
      <c r="AC31" s="55"/>
      <c r="AD31" s="55"/>
      <c r="AE31" s="55"/>
      <c r="AF31" s="55"/>
      <c r="AG31" s="55"/>
      <c r="AH31" s="55"/>
      <c r="AI31" s="55"/>
      <c r="AJ31" s="55"/>
      <c r="AK31" s="55"/>
      <c r="AL31" s="55"/>
      <c r="AM31" s="55"/>
      <c r="AN31" s="56"/>
      <c r="AO31" s="56"/>
      <c r="AP31" s="56"/>
      <c r="AQ31" s="56"/>
      <c r="AR31" s="56"/>
      <c r="AS31" s="56"/>
      <c r="AT31" s="56"/>
      <c r="AU31" s="56"/>
      <c r="AV31" s="56"/>
      <c r="AW31" s="56"/>
      <c r="AX31" s="56"/>
      <c r="AY31" s="56"/>
      <c r="AZ31" s="56"/>
      <c r="BA31" s="56"/>
      <c r="BB31" s="56"/>
      <c r="BC31" s="56"/>
      <c r="BD31" s="56"/>
      <c r="BE31" s="56"/>
    </row>
    <row r="32" spans="2:57" ht="34.5" customHeight="1" x14ac:dyDescent="0.3">
      <c r="B32" s="383" t="s">
        <v>707</v>
      </c>
      <c r="C32" s="383"/>
    </row>
    <row r="33" spans="2:57" ht="16.5" customHeight="1" x14ac:dyDescent="0.3">
      <c r="B33" s="383"/>
      <c r="C33" s="383"/>
    </row>
    <row r="34" spans="2:57" s="298" customFormat="1" ht="18" x14ac:dyDescent="0.3">
      <c r="B34" s="295" t="s">
        <v>706</v>
      </c>
      <c r="C34" s="296"/>
      <c r="D34" s="297"/>
      <c r="G34" s="296"/>
      <c r="H34" s="297"/>
      <c r="K34" s="296"/>
      <c r="L34" s="296"/>
      <c r="M34" s="297"/>
      <c r="N34" s="297"/>
      <c r="O34" s="300"/>
      <c r="Q34" s="304"/>
      <c r="S34" s="303"/>
      <c r="T34" s="303"/>
      <c r="U34" s="303"/>
      <c r="V34" s="303"/>
      <c r="W34" s="303"/>
      <c r="X34" s="303"/>
      <c r="Y34" s="303"/>
      <c r="Z34" s="303"/>
      <c r="AA34" s="303"/>
      <c r="AB34" s="303"/>
      <c r="AC34" s="303"/>
      <c r="AD34" s="303"/>
      <c r="AE34" s="303"/>
      <c r="AF34" s="303"/>
      <c r="AG34" s="303"/>
      <c r="AH34" s="303"/>
      <c r="AI34" s="303"/>
      <c r="AJ34" s="303"/>
      <c r="AK34" s="303"/>
      <c r="AL34" s="303"/>
      <c r="AM34" s="303"/>
      <c r="AN34" s="304"/>
      <c r="AO34" s="304"/>
      <c r="AP34" s="304"/>
      <c r="AQ34" s="304"/>
      <c r="AR34" s="304"/>
      <c r="AS34" s="304"/>
      <c r="AT34" s="304"/>
      <c r="AU34" s="304"/>
      <c r="AV34" s="304"/>
      <c r="AW34" s="304"/>
      <c r="AX34" s="304"/>
      <c r="AY34" s="304"/>
      <c r="AZ34" s="304"/>
      <c r="BA34" s="304"/>
      <c r="BB34" s="304"/>
      <c r="BC34" s="304"/>
      <c r="BD34" s="304"/>
      <c r="BE34" s="304"/>
    </row>
    <row r="35" spans="2:57" ht="16.5" customHeight="1" x14ac:dyDescent="0.3">
      <c r="B35" s="383"/>
      <c r="C35" s="383"/>
    </row>
    <row r="36" spans="2:57" ht="44.25" customHeight="1" x14ac:dyDescent="0.3">
      <c r="B36" s="383" t="s">
        <v>709</v>
      </c>
      <c r="C36" s="383"/>
    </row>
    <row r="38" spans="2:57" s="298" customFormat="1" ht="18" x14ac:dyDescent="0.3">
      <c r="B38" s="295" t="s">
        <v>713</v>
      </c>
      <c r="C38" s="296"/>
      <c r="D38" s="297"/>
      <c r="G38" s="296"/>
      <c r="H38" s="297"/>
      <c r="K38" s="296"/>
      <c r="L38" s="296"/>
      <c r="M38" s="297"/>
      <c r="N38" s="297"/>
      <c r="O38" s="300"/>
      <c r="Q38" s="304"/>
      <c r="S38" s="303"/>
      <c r="T38" s="303"/>
      <c r="U38" s="303"/>
      <c r="V38" s="303"/>
      <c r="W38" s="303"/>
      <c r="X38" s="303"/>
      <c r="Y38" s="303"/>
      <c r="Z38" s="303"/>
      <c r="AA38" s="303"/>
      <c r="AB38" s="303"/>
      <c r="AC38" s="303"/>
      <c r="AD38" s="303"/>
      <c r="AE38" s="303"/>
      <c r="AF38" s="303"/>
      <c r="AG38" s="303"/>
      <c r="AH38" s="303"/>
      <c r="AI38" s="303"/>
      <c r="AJ38" s="303"/>
      <c r="AK38" s="303"/>
      <c r="AL38" s="303"/>
      <c r="AM38" s="303"/>
      <c r="AN38" s="304"/>
      <c r="AO38" s="304"/>
      <c r="AP38" s="304"/>
      <c r="AQ38" s="304"/>
      <c r="AR38" s="304"/>
      <c r="AS38" s="304"/>
      <c r="AT38" s="304"/>
      <c r="AU38" s="304"/>
      <c r="AV38" s="304"/>
      <c r="AW38" s="304"/>
      <c r="AX38" s="304"/>
      <c r="AY38" s="304"/>
      <c r="AZ38" s="304"/>
      <c r="BA38" s="304"/>
      <c r="BB38" s="304"/>
      <c r="BC38" s="304"/>
      <c r="BD38" s="304"/>
      <c r="BE38" s="304"/>
    </row>
    <row r="40" spans="2:57" ht="39.75" customHeight="1" x14ac:dyDescent="0.3">
      <c r="B40" s="383" t="s">
        <v>743</v>
      </c>
      <c r="C40" s="383"/>
    </row>
    <row r="42" spans="2:57" s="298" customFormat="1" ht="18" x14ac:dyDescent="0.3">
      <c r="B42" s="295" t="s">
        <v>715</v>
      </c>
      <c r="C42" s="296"/>
      <c r="D42" s="297"/>
      <c r="G42" s="296"/>
      <c r="H42" s="297"/>
      <c r="K42" s="296"/>
      <c r="L42" s="296"/>
      <c r="M42" s="297"/>
      <c r="N42" s="297"/>
      <c r="O42" s="300"/>
      <c r="Q42" s="304"/>
      <c r="S42" s="303"/>
      <c r="T42" s="303"/>
      <c r="U42" s="303"/>
      <c r="V42" s="303"/>
      <c r="W42" s="303"/>
      <c r="X42" s="303"/>
      <c r="Y42" s="303"/>
      <c r="Z42" s="303"/>
      <c r="AA42" s="303"/>
      <c r="AB42" s="303"/>
      <c r="AC42" s="303"/>
      <c r="AD42" s="303"/>
      <c r="AE42" s="303"/>
      <c r="AF42" s="303"/>
      <c r="AG42" s="303"/>
      <c r="AH42" s="303"/>
      <c r="AI42" s="303"/>
      <c r="AJ42" s="303"/>
      <c r="AK42" s="303"/>
      <c r="AL42" s="303"/>
      <c r="AM42" s="303"/>
      <c r="AN42" s="304"/>
      <c r="AO42" s="304"/>
      <c r="AP42" s="304"/>
      <c r="AQ42" s="304"/>
      <c r="AR42" s="304"/>
      <c r="AS42" s="304"/>
      <c r="AT42" s="304"/>
      <c r="AU42" s="304"/>
      <c r="AV42" s="304"/>
      <c r="AW42" s="304"/>
      <c r="AX42" s="304"/>
      <c r="AY42" s="304"/>
      <c r="AZ42" s="304"/>
      <c r="BA42" s="304"/>
      <c r="BB42" s="304"/>
      <c r="BC42" s="304"/>
      <c r="BD42" s="304"/>
      <c r="BE42" s="304"/>
    </row>
    <row r="44" spans="2:57" x14ac:dyDescent="0.3">
      <c r="B44" t="s">
        <v>716</v>
      </c>
    </row>
  </sheetData>
  <mergeCells count="13">
    <mergeCell ref="B40:C40"/>
    <mergeCell ref="B36:C36"/>
    <mergeCell ref="B5:C5"/>
    <mergeCell ref="B21:C21"/>
    <mergeCell ref="B32:C32"/>
    <mergeCell ref="B33:C33"/>
    <mergeCell ref="B35:C35"/>
    <mergeCell ref="B10:C10"/>
    <mergeCell ref="B18:C18"/>
    <mergeCell ref="B19:C19"/>
    <mergeCell ref="B11:C11"/>
    <mergeCell ref="B20:C20"/>
    <mergeCell ref="B12:C12"/>
  </mergeCells>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&amp;L&amp;"-,Lihavoitu"&amp;12PIIP-laskentatyökalu&amp;ROhje ja esittely
Sivu &amp;P/&amp;N</oddHeader>
    <oddFooter>&amp;L&amp;G&amp;R&amp;G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1083-60EA-4118-82DB-F645D1FFC606}">
  <sheetPr codeName="Sheet10">
    <tabColor theme="8" tint="0.79998168889431442"/>
  </sheetPr>
  <dimension ref="B1:BE134"/>
  <sheetViews>
    <sheetView zoomScaleNormal="100" zoomScaleSheetLayoutView="100" workbookViewId="0">
      <pane xSplit="1" ySplit="2" topLeftCell="B3" activePane="bottomRight" state="frozen"/>
      <selection pane="topRight" activeCell="B1" sqref="B1"/>
      <selection pane="bottomLeft" activeCell="A3" sqref="A3"/>
      <selection pane="bottomRight" activeCell="D34" sqref="D34"/>
    </sheetView>
  </sheetViews>
  <sheetFormatPr defaultRowHeight="14" x14ac:dyDescent="0.3"/>
  <cols>
    <col min="1" max="1" width="2.75" customWidth="1"/>
    <col min="2" max="2" width="15.83203125" bestFit="1" customWidth="1"/>
    <col min="3" max="3" width="35.25" bestFit="1" customWidth="1"/>
    <col min="4" max="6" width="4.33203125" customWidth="1"/>
    <col min="7" max="7" width="11.83203125" bestFit="1" customWidth="1"/>
    <col min="8" max="8" width="10.75" bestFit="1" customWidth="1"/>
    <col min="9" max="9" width="11.5" bestFit="1" customWidth="1"/>
    <col min="10" max="10" width="10.33203125" bestFit="1" customWidth="1"/>
    <col min="11" max="11" width="9.5" bestFit="1" customWidth="1"/>
    <col min="12" max="12" width="27.75" bestFit="1" customWidth="1"/>
    <col min="13" max="14" width="71.75" bestFit="1" customWidth="1"/>
  </cols>
  <sheetData>
    <row r="1" spans="2:57" s="31" customFormat="1" ht="15.5" x14ac:dyDescent="0.3">
      <c r="C1" s="34"/>
      <c r="D1" s="84"/>
      <c r="G1" s="34"/>
      <c r="H1" s="84"/>
      <c r="J1" s="33"/>
      <c r="K1" s="34"/>
      <c r="L1" s="34"/>
      <c r="M1" s="84"/>
      <c r="P1" s="34"/>
      <c r="R1" s="56"/>
      <c r="S1" s="55"/>
      <c r="T1" s="55"/>
      <c r="U1" s="55"/>
      <c r="V1" s="55"/>
      <c r="W1" s="55"/>
      <c r="X1" s="55"/>
      <c r="Y1" s="55"/>
      <c r="Z1" s="55"/>
      <c r="AA1" s="55"/>
      <c r="AB1" s="55"/>
      <c r="AC1" s="55"/>
      <c r="AD1" s="55"/>
      <c r="AE1" s="55"/>
      <c r="AF1" s="55"/>
      <c r="AG1" s="55"/>
      <c r="AH1" s="55"/>
      <c r="AI1" s="55"/>
      <c r="AJ1" s="55"/>
      <c r="AK1" s="55"/>
      <c r="AL1" s="55"/>
      <c r="AM1" s="55"/>
      <c r="AN1" s="56"/>
      <c r="AO1" s="56"/>
      <c r="AP1" s="56"/>
      <c r="AQ1" s="56"/>
      <c r="AR1" s="56"/>
      <c r="AS1" s="56"/>
      <c r="AT1" s="56"/>
      <c r="AU1" s="56"/>
      <c r="AV1" s="56"/>
      <c r="AW1" s="56"/>
      <c r="AX1" s="56"/>
      <c r="AY1" s="56"/>
      <c r="AZ1" s="56"/>
      <c r="BA1" s="56"/>
      <c r="BB1" s="56"/>
      <c r="BC1" s="56"/>
      <c r="BD1" s="56"/>
      <c r="BE1" s="56"/>
    </row>
    <row r="2" spans="2:57" s="25" customFormat="1" ht="30" x14ac:dyDescent="0.3">
      <c r="B2" s="8" t="s">
        <v>617</v>
      </c>
      <c r="C2" s="27"/>
      <c r="D2" s="85"/>
      <c r="G2" s="27"/>
      <c r="H2" s="85"/>
      <c r="J2" s="26"/>
      <c r="K2" s="27"/>
      <c r="L2" s="27"/>
      <c r="M2" s="85"/>
      <c r="P2" s="27"/>
      <c r="R2" s="331"/>
      <c r="S2" s="332"/>
      <c r="T2" s="332"/>
      <c r="U2" s="332"/>
      <c r="V2" s="332"/>
      <c r="W2" s="332"/>
      <c r="X2" s="332"/>
      <c r="Y2" s="332"/>
      <c r="Z2" s="332"/>
      <c r="AA2" s="332"/>
      <c r="AB2" s="332"/>
      <c r="AC2" s="332"/>
      <c r="AD2" s="332"/>
      <c r="AE2" s="332"/>
      <c r="AF2" s="332"/>
      <c r="AG2" s="332"/>
      <c r="AH2" s="332"/>
      <c r="AI2" s="332"/>
      <c r="AJ2" s="332"/>
      <c r="AK2" s="332"/>
      <c r="AL2" s="332"/>
      <c r="AM2" s="332"/>
      <c r="AN2" s="331"/>
      <c r="AO2" s="331"/>
      <c r="AP2" s="331"/>
      <c r="AQ2" s="331"/>
      <c r="AR2" s="331"/>
      <c r="AS2" s="331"/>
      <c r="AT2" s="331"/>
      <c r="AU2" s="331"/>
      <c r="AV2" s="331"/>
      <c r="AW2" s="331"/>
      <c r="AX2" s="331"/>
      <c r="AY2" s="331"/>
      <c r="AZ2" s="331"/>
      <c r="BA2" s="331"/>
      <c r="BB2" s="331"/>
      <c r="BC2" s="331"/>
      <c r="BD2" s="331"/>
      <c r="BE2" s="331"/>
    </row>
    <row r="3" spans="2:57" s="31" customFormat="1" ht="15.5" x14ac:dyDescent="0.3">
      <c r="C3" s="34"/>
      <c r="D3" s="84"/>
      <c r="G3" s="34"/>
      <c r="H3" s="84"/>
      <c r="J3" s="33"/>
      <c r="K3" s="34"/>
      <c r="L3" s="34"/>
      <c r="M3" s="84"/>
      <c r="P3" s="34"/>
      <c r="R3" s="56"/>
      <c r="S3" s="55"/>
      <c r="T3" s="55"/>
      <c r="U3" s="55"/>
      <c r="V3" s="55"/>
      <c r="W3" s="55"/>
      <c r="X3" s="55"/>
      <c r="Y3" s="55"/>
      <c r="Z3" s="55"/>
      <c r="AA3" s="55"/>
      <c r="AB3" s="55"/>
      <c r="AC3" s="55"/>
      <c r="AD3" s="55"/>
      <c r="AE3" s="55"/>
      <c r="AF3" s="55"/>
      <c r="AG3" s="55"/>
      <c r="AH3" s="55"/>
      <c r="AI3" s="55"/>
      <c r="AJ3" s="55"/>
      <c r="AK3" s="55"/>
      <c r="AL3" s="55"/>
      <c r="AM3" s="55"/>
      <c r="AN3" s="56"/>
      <c r="AO3" s="56"/>
      <c r="AP3" s="56"/>
      <c r="AQ3" s="56"/>
      <c r="AR3" s="56"/>
      <c r="AS3" s="56"/>
      <c r="AT3" s="56"/>
      <c r="AU3" s="56"/>
      <c r="AV3" s="56"/>
      <c r="AW3" s="56"/>
      <c r="AX3" s="56"/>
      <c r="AY3" s="56"/>
      <c r="AZ3" s="56"/>
      <c r="BA3" s="56"/>
      <c r="BB3" s="56"/>
      <c r="BC3" s="56"/>
      <c r="BD3" s="56"/>
      <c r="BE3" s="56"/>
    </row>
    <row r="4" spans="2:57" s="211" customFormat="1" ht="14.5" x14ac:dyDescent="0.35">
      <c r="B4" s="211" t="s">
        <v>39</v>
      </c>
      <c r="C4" s="280" t="s">
        <v>150</v>
      </c>
      <c r="G4" s="280"/>
      <c r="L4" s="211" t="s">
        <v>618</v>
      </c>
    </row>
    <row r="5" spans="2:57" s="211" customFormat="1" ht="14.5" x14ac:dyDescent="0.35">
      <c r="B5" s="211" t="s">
        <v>39</v>
      </c>
      <c r="C5" s="280" t="s">
        <v>151</v>
      </c>
      <c r="G5" s="280"/>
      <c r="L5" s="211" t="s">
        <v>618</v>
      </c>
    </row>
    <row r="6" spans="2:57" s="211" customFormat="1" ht="14.5" x14ac:dyDescent="0.35">
      <c r="B6" s="211" t="s">
        <v>39</v>
      </c>
      <c r="C6" s="280" t="s">
        <v>152</v>
      </c>
      <c r="G6" s="280"/>
      <c r="L6" s="211" t="s">
        <v>618</v>
      </c>
    </row>
    <row r="7" spans="2:57" s="211" customFormat="1" ht="14.5" x14ac:dyDescent="0.35">
      <c r="B7" s="211" t="s">
        <v>39</v>
      </c>
      <c r="C7" s="280" t="s">
        <v>153</v>
      </c>
      <c r="G7" s="280"/>
      <c r="L7" s="211" t="s">
        <v>618</v>
      </c>
    </row>
    <row r="8" spans="2:57" s="211" customFormat="1" ht="14.5" x14ac:dyDescent="0.35">
      <c r="B8" s="211" t="s">
        <v>39</v>
      </c>
      <c r="C8" s="280" t="s">
        <v>154</v>
      </c>
      <c r="G8" s="280"/>
      <c r="L8" s="211" t="s">
        <v>618</v>
      </c>
    </row>
    <row r="9" spans="2:57" x14ac:dyDescent="0.3">
      <c r="I9" t="s">
        <v>164</v>
      </c>
    </row>
    <row r="10" spans="2:57" x14ac:dyDescent="0.3">
      <c r="B10" t="s">
        <v>158</v>
      </c>
      <c r="C10" s="272" t="s">
        <v>462</v>
      </c>
      <c r="G10" s="210">
        <v>6.0000000000000001E-3</v>
      </c>
      <c r="H10" t="s">
        <v>159</v>
      </c>
      <c r="I10" s="210">
        <v>1.05</v>
      </c>
      <c r="L10" t="s">
        <v>161</v>
      </c>
      <c r="M10" s="10" t="s">
        <v>162</v>
      </c>
      <c r="N10" t="s">
        <v>160</v>
      </c>
    </row>
    <row r="11" spans="2:57" x14ac:dyDescent="0.3">
      <c r="B11" t="s">
        <v>158</v>
      </c>
      <c r="C11" s="272" t="s">
        <v>461</v>
      </c>
      <c r="G11" s="210">
        <v>6.0000000000000001E-3</v>
      </c>
      <c r="H11" t="s">
        <v>159</v>
      </c>
      <c r="I11" s="210">
        <v>1.05</v>
      </c>
      <c r="L11" t="s">
        <v>161</v>
      </c>
      <c r="M11" s="10" t="s">
        <v>162</v>
      </c>
    </row>
    <row r="12" spans="2:57" x14ac:dyDescent="0.3">
      <c r="B12" t="s">
        <v>158</v>
      </c>
      <c r="C12" s="272" t="s">
        <v>163</v>
      </c>
      <c r="G12" s="210">
        <v>6.0000000000000001E-3</v>
      </c>
      <c r="H12" t="s">
        <v>159</v>
      </c>
      <c r="I12" s="210">
        <v>1.05</v>
      </c>
      <c r="L12" t="s">
        <v>161</v>
      </c>
      <c r="M12" s="10" t="s">
        <v>162</v>
      </c>
    </row>
    <row r="13" spans="2:57" x14ac:dyDescent="0.3">
      <c r="B13" t="s">
        <v>158</v>
      </c>
      <c r="C13" s="272" t="s">
        <v>463</v>
      </c>
      <c r="G13" s="210">
        <v>4.0000000000000001E-3</v>
      </c>
      <c r="H13" t="s">
        <v>159</v>
      </c>
      <c r="I13" s="210">
        <v>1.05</v>
      </c>
      <c r="L13" t="s">
        <v>161</v>
      </c>
      <c r="M13" s="10" t="s">
        <v>162</v>
      </c>
    </row>
    <row r="14" spans="2:57" x14ac:dyDescent="0.3">
      <c r="B14" t="s">
        <v>158</v>
      </c>
      <c r="C14" s="272" t="s">
        <v>464</v>
      </c>
      <c r="G14" s="210">
        <v>4.0000000000000001E-3</v>
      </c>
      <c r="H14" t="s">
        <v>159</v>
      </c>
      <c r="I14" s="210">
        <v>1.05</v>
      </c>
      <c r="L14" t="s">
        <v>161</v>
      </c>
      <c r="M14" s="10" t="s">
        <v>162</v>
      </c>
    </row>
    <row r="15" spans="2:57" x14ac:dyDescent="0.3">
      <c r="I15" t="s">
        <v>164</v>
      </c>
    </row>
    <row r="16" spans="2:57" x14ac:dyDescent="0.3">
      <c r="B16" t="s">
        <v>165</v>
      </c>
      <c r="C16" s="272" t="s">
        <v>167</v>
      </c>
      <c r="G16" s="210">
        <v>0</v>
      </c>
      <c r="H16" t="s">
        <v>159</v>
      </c>
      <c r="I16" s="210">
        <v>1</v>
      </c>
      <c r="M16" t="s">
        <v>429</v>
      </c>
    </row>
    <row r="17" spans="2:14" x14ac:dyDescent="0.3">
      <c r="B17" t="s">
        <v>165</v>
      </c>
      <c r="C17" s="272" t="s">
        <v>166</v>
      </c>
      <c r="G17" s="210">
        <v>9.0999999999999998E-2</v>
      </c>
      <c r="H17" t="s">
        <v>159</v>
      </c>
      <c r="I17" s="210">
        <v>1</v>
      </c>
      <c r="L17" t="s">
        <v>161</v>
      </c>
      <c r="M17" t="s">
        <v>169</v>
      </c>
    </row>
    <row r="18" spans="2:14" x14ac:dyDescent="0.3">
      <c r="B18" t="s">
        <v>165</v>
      </c>
      <c r="C18" s="272" t="s">
        <v>168</v>
      </c>
      <c r="G18" s="210">
        <v>0.312</v>
      </c>
      <c r="H18" t="s">
        <v>159</v>
      </c>
      <c r="I18" s="210">
        <v>1</v>
      </c>
      <c r="L18" t="s">
        <v>161</v>
      </c>
      <c r="M18" t="s">
        <v>169</v>
      </c>
      <c r="N18" t="s">
        <v>170</v>
      </c>
    </row>
    <row r="19" spans="2:14" x14ac:dyDescent="0.3">
      <c r="B19" t="s">
        <v>165</v>
      </c>
      <c r="C19" s="272" t="s">
        <v>430</v>
      </c>
      <c r="G19" s="273">
        <f>AVERAGE(0.114,0.072,0.106,0.095,0.047)</f>
        <v>8.6800000000000002E-2</v>
      </c>
      <c r="H19" t="s">
        <v>159</v>
      </c>
      <c r="I19" s="210">
        <v>1</v>
      </c>
      <c r="L19" t="s">
        <v>161</v>
      </c>
      <c r="M19" t="s">
        <v>169</v>
      </c>
      <c r="N19" t="s">
        <v>171</v>
      </c>
    </row>
    <row r="20" spans="2:14" x14ac:dyDescent="0.3">
      <c r="B20" t="s">
        <v>165</v>
      </c>
      <c r="C20" s="272"/>
      <c r="G20" s="210"/>
      <c r="H20" t="s">
        <v>159</v>
      </c>
      <c r="I20" s="210"/>
      <c r="L20" t="s">
        <v>161</v>
      </c>
    </row>
    <row r="21" spans="2:14" x14ac:dyDescent="0.3">
      <c r="B21" t="s">
        <v>165</v>
      </c>
      <c r="C21" s="272"/>
      <c r="G21" s="210"/>
      <c r="H21" t="s">
        <v>159</v>
      </c>
      <c r="I21" s="210"/>
      <c r="L21" t="s">
        <v>161</v>
      </c>
    </row>
    <row r="23" spans="2:14" x14ac:dyDescent="0.3">
      <c r="B23" t="s">
        <v>173</v>
      </c>
      <c r="C23" s="210" t="s">
        <v>180</v>
      </c>
      <c r="G23" s="210">
        <v>5.0000000000000001E-3</v>
      </c>
      <c r="H23" t="s">
        <v>159</v>
      </c>
      <c r="I23" s="210">
        <f>AVERAGE(I10:I14)</f>
        <v>1.05</v>
      </c>
      <c r="L23" t="s">
        <v>181</v>
      </c>
    </row>
    <row r="25" spans="2:14" x14ac:dyDescent="0.3">
      <c r="B25" t="s">
        <v>646</v>
      </c>
      <c r="C25" s="115" t="s">
        <v>357</v>
      </c>
      <c r="G25" s="273">
        <v>0.3</v>
      </c>
      <c r="H25" t="s">
        <v>159</v>
      </c>
      <c r="K25" s="210">
        <v>1.05</v>
      </c>
      <c r="L25" t="s">
        <v>105</v>
      </c>
      <c r="M25" s="10" t="s">
        <v>365</v>
      </c>
      <c r="N25" t="s">
        <v>366</v>
      </c>
    </row>
    <row r="26" spans="2:14" x14ac:dyDescent="0.3">
      <c r="B26" t="s">
        <v>646</v>
      </c>
      <c r="C26" s="115" t="s">
        <v>434</v>
      </c>
      <c r="G26" s="273">
        <v>5.0345000000000001E-2</v>
      </c>
      <c r="H26" t="s">
        <v>159</v>
      </c>
      <c r="K26" s="210">
        <v>1.05</v>
      </c>
      <c r="L26" t="s">
        <v>291</v>
      </c>
      <c r="N26" t="s">
        <v>367</v>
      </c>
    </row>
    <row r="27" spans="2:14" x14ac:dyDescent="0.3">
      <c r="B27" t="s">
        <v>646</v>
      </c>
      <c r="C27" s="115" t="s">
        <v>358</v>
      </c>
      <c r="G27" s="210">
        <v>5.0000000000000001E-3</v>
      </c>
      <c r="H27" t="s">
        <v>159</v>
      </c>
      <c r="K27" s="210">
        <v>1.05</v>
      </c>
      <c r="N27" t="s">
        <v>373</v>
      </c>
    </row>
    <row r="28" spans="2:14" x14ac:dyDescent="0.3">
      <c r="B28" t="s">
        <v>646</v>
      </c>
      <c r="C28" s="115" t="s">
        <v>379</v>
      </c>
      <c r="G28" s="210">
        <v>0.97099999999999997</v>
      </c>
      <c r="H28" t="s">
        <v>194</v>
      </c>
      <c r="I28" s="273">
        <v>2.2000000000000002</v>
      </c>
      <c r="J28" t="s">
        <v>159</v>
      </c>
      <c r="K28" s="281">
        <v>1.1000000000000001</v>
      </c>
      <c r="L28" t="s">
        <v>105</v>
      </c>
      <c r="M28" s="10" t="s">
        <v>371</v>
      </c>
      <c r="N28" t="s">
        <v>370</v>
      </c>
    </row>
    <row r="29" spans="2:14" x14ac:dyDescent="0.3">
      <c r="B29" t="s">
        <v>646</v>
      </c>
      <c r="C29" s="115" t="s">
        <v>359</v>
      </c>
      <c r="G29" s="210">
        <v>0</v>
      </c>
      <c r="H29" t="s">
        <v>159</v>
      </c>
      <c r="K29" s="210">
        <f>AVERAGE(I16:I21)</f>
        <v>1</v>
      </c>
      <c r="N29" t="s">
        <v>598</v>
      </c>
    </row>
    <row r="30" spans="2:14" x14ac:dyDescent="0.3">
      <c r="B30" t="s">
        <v>646</v>
      </c>
      <c r="C30" s="115" t="s">
        <v>360</v>
      </c>
      <c r="G30" s="210">
        <v>0</v>
      </c>
      <c r="H30" t="s">
        <v>159</v>
      </c>
      <c r="K30" s="210">
        <f>AVERAGE(I16:I21)</f>
        <v>1</v>
      </c>
      <c r="N30" t="s">
        <v>598</v>
      </c>
    </row>
    <row r="31" spans="2:14" x14ac:dyDescent="0.3">
      <c r="B31" t="s">
        <v>646</v>
      </c>
      <c r="C31" s="115" t="s">
        <v>361</v>
      </c>
      <c r="G31" s="210">
        <v>0</v>
      </c>
      <c r="H31" t="s">
        <v>159</v>
      </c>
      <c r="K31" s="210">
        <f>AVERAGE(I16:I21)</f>
        <v>1</v>
      </c>
      <c r="N31" t="s">
        <v>598</v>
      </c>
    </row>
    <row r="32" spans="2:14" x14ac:dyDescent="0.3">
      <c r="B32" t="s">
        <v>646</v>
      </c>
      <c r="C32" s="115" t="s">
        <v>21</v>
      </c>
      <c r="G32" s="273">
        <f>AVERAGE(0.27,0.44,0.65,0.86,1.15)</f>
        <v>0.67399999999999993</v>
      </c>
      <c r="H32" t="s">
        <v>194</v>
      </c>
      <c r="I32" s="273">
        <f>3.23</f>
        <v>3.23</v>
      </c>
      <c r="J32" t="s">
        <v>159</v>
      </c>
      <c r="K32" s="281">
        <v>1.1000000000000001</v>
      </c>
      <c r="L32" t="s">
        <v>105</v>
      </c>
      <c r="M32" s="10" t="s">
        <v>369</v>
      </c>
      <c r="N32" t="s">
        <v>368</v>
      </c>
    </row>
    <row r="33" spans="2:14" x14ac:dyDescent="0.3">
      <c r="B33" t="s">
        <v>646</v>
      </c>
      <c r="C33" s="115" t="s">
        <v>362</v>
      </c>
      <c r="G33" s="273">
        <v>2.2000000000000002</v>
      </c>
      <c r="H33" t="s">
        <v>159</v>
      </c>
      <c r="I33" s="210">
        <v>0.97099999999999997</v>
      </c>
      <c r="J33" t="s">
        <v>194</v>
      </c>
      <c r="K33" s="281">
        <v>1.1000000000000001</v>
      </c>
      <c r="N33" t="s">
        <v>372</v>
      </c>
    </row>
    <row r="34" spans="2:14" x14ac:dyDescent="0.3">
      <c r="B34" t="s">
        <v>646</v>
      </c>
      <c r="C34" s="115" t="s">
        <v>416</v>
      </c>
      <c r="G34" s="273">
        <f>I34*(0.95/1000)*100</f>
        <v>0.14250000000000002</v>
      </c>
      <c r="H34" t="s">
        <v>194</v>
      </c>
      <c r="I34" s="273">
        <v>1.5</v>
      </c>
      <c r="J34" t="s">
        <v>159</v>
      </c>
      <c r="K34" s="281">
        <v>1</v>
      </c>
      <c r="L34" t="s">
        <v>291</v>
      </c>
      <c r="N34" t="s">
        <v>419</v>
      </c>
    </row>
    <row r="35" spans="2:14" x14ac:dyDescent="0.3">
      <c r="B35" t="s">
        <v>646</v>
      </c>
      <c r="C35" s="115"/>
      <c r="G35" s="273"/>
    </row>
    <row r="36" spans="2:14" x14ac:dyDescent="0.3">
      <c r="B36" t="s">
        <v>646</v>
      </c>
      <c r="C36" s="115"/>
      <c r="G36" s="273"/>
    </row>
    <row r="37" spans="2:14" x14ac:dyDescent="0.3">
      <c r="B37" t="s">
        <v>646</v>
      </c>
      <c r="C37" s="115"/>
      <c r="G37" s="273"/>
    </row>
    <row r="38" spans="2:14" x14ac:dyDescent="0.3">
      <c r="K38" t="s">
        <v>164</v>
      </c>
    </row>
    <row r="39" spans="2:14" x14ac:dyDescent="0.3">
      <c r="B39" t="s">
        <v>45</v>
      </c>
      <c r="C39" s="115" t="s">
        <v>394</v>
      </c>
      <c r="G39" s="273">
        <v>8</v>
      </c>
      <c r="H39" t="s">
        <v>403</v>
      </c>
      <c r="I39" s="273">
        <v>2.12</v>
      </c>
      <c r="J39" t="s">
        <v>159</v>
      </c>
      <c r="K39" s="210">
        <v>1.05</v>
      </c>
      <c r="L39" t="s">
        <v>105</v>
      </c>
      <c r="M39" t="s">
        <v>369</v>
      </c>
      <c r="N39" t="s">
        <v>404</v>
      </c>
    </row>
    <row r="40" spans="2:14" x14ac:dyDescent="0.3">
      <c r="B40" t="s">
        <v>45</v>
      </c>
      <c r="C40" s="115" t="s">
        <v>21</v>
      </c>
      <c r="G40" s="273">
        <f>AVERAGE(0.27,0.44,0.65,0.86,1.15)</f>
        <v>0.67399999999999993</v>
      </c>
      <c r="H40" t="s">
        <v>194</v>
      </c>
      <c r="I40" s="273">
        <f>3.23</f>
        <v>3.23</v>
      </c>
      <c r="J40" t="s">
        <v>159</v>
      </c>
      <c r="K40" s="281">
        <v>1.1000000000000001</v>
      </c>
      <c r="L40" t="s">
        <v>105</v>
      </c>
      <c r="M40" s="10" t="s">
        <v>369</v>
      </c>
      <c r="N40" t="s">
        <v>368</v>
      </c>
    </row>
    <row r="41" spans="2:14" x14ac:dyDescent="0.3">
      <c r="B41" t="s">
        <v>45</v>
      </c>
      <c r="C41" s="115" t="s">
        <v>399</v>
      </c>
      <c r="G41" s="273">
        <v>4.0000000000000001E-3</v>
      </c>
      <c r="H41" t="s">
        <v>159</v>
      </c>
      <c r="K41" s="281">
        <v>1.05</v>
      </c>
      <c r="L41" t="s">
        <v>105</v>
      </c>
      <c r="M41" s="10" t="s">
        <v>162</v>
      </c>
    </row>
    <row r="42" spans="2:14" x14ac:dyDescent="0.3">
      <c r="B42" t="s">
        <v>45</v>
      </c>
      <c r="C42" s="115" t="s">
        <v>400</v>
      </c>
      <c r="G42" s="273">
        <v>0</v>
      </c>
      <c r="H42" t="s">
        <v>159</v>
      </c>
      <c r="K42" s="281">
        <v>1</v>
      </c>
      <c r="M42" t="s">
        <v>431</v>
      </c>
    </row>
    <row r="43" spans="2:14" x14ac:dyDescent="0.3">
      <c r="B43" t="s">
        <v>45</v>
      </c>
      <c r="C43" s="115" t="s">
        <v>22</v>
      </c>
      <c r="G43" s="273">
        <v>4.1500000000000004</v>
      </c>
      <c r="H43" t="s">
        <v>194</v>
      </c>
      <c r="I43" s="273">
        <v>0.81499999999999995</v>
      </c>
      <c r="J43" t="s">
        <v>159</v>
      </c>
      <c r="K43" s="281">
        <v>1.05</v>
      </c>
      <c r="L43" t="s">
        <v>105</v>
      </c>
      <c r="M43" s="10" t="s">
        <v>169</v>
      </c>
    </row>
    <row r="44" spans="2:14" x14ac:dyDescent="0.3">
      <c r="B44" t="s">
        <v>45</v>
      </c>
      <c r="C44" s="115" t="s">
        <v>401</v>
      </c>
      <c r="G44" s="273">
        <v>1.143</v>
      </c>
      <c r="H44" t="s">
        <v>159</v>
      </c>
      <c r="K44" s="281">
        <v>1</v>
      </c>
      <c r="L44" t="s">
        <v>291</v>
      </c>
      <c r="M44" t="s">
        <v>405</v>
      </c>
    </row>
    <row r="45" spans="2:14" x14ac:dyDescent="0.3">
      <c r="B45" t="s">
        <v>45</v>
      </c>
      <c r="C45" s="115" t="s">
        <v>402</v>
      </c>
      <c r="G45" s="273">
        <v>1.9926999999999999</v>
      </c>
      <c r="H45" t="s">
        <v>159</v>
      </c>
      <c r="K45" s="281">
        <v>1</v>
      </c>
      <c r="L45" t="s">
        <v>291</v>
      </c>
      <c r="M45" t="s">
        <v>406</v>
      </c>
    </row>
    <row r="46" spans="2:14" x14ac:dyDescent="0.3">
      <c r="B46" t="s">
        <v>45</v>
      </c>
      <c r="C46" s="115" t="s">
        <v>397</v>
      </c>
      <c r="G46" s="273">
        <v>2.0518000000000001</v>
      </c>
      <c r="H46" t="s">
        <v>159</v>
      </c>
      <c r="K46" s="281">
        <v>1</v>
      </c>
      <c r="L46" t="s">
        <v>291</v>
      </c>
      <c r="M46" t="s">
        <v>407</v>
      </c>
    </row>
    <row r="47" spans="2:14" x14ac:dyDescent="0.3">
      <c r="B47" t="s">
        <v>45</v>
      </c>
      <c r="C47" s="11" t="s">
        <v>395</v>
      </c>
      <c r="G47" s="273">
        <v>0.4647</v>
      </c>
      <c r="H47" t="s">
        <v>159</v>
      </c>
      <c r="K47" s="281">
        <v>1</v>
      </c>
      <c r="L47" t="s">
        <v>291</v>
      </c>
      <c r="M47" t="s">
        <v>408</v>
      </c>
    </row>
    <row r="48" spans="2:14" x14ac:dyDescent="0.3">
      <c r="B48" t="s">
        <v>45</v>
      </c>
      <c r="C48" s="11" t="s">
        <v>428</v>
      </c>
      <c r="G48" s="273">
        <v>3.6</v>
      </c>
      <c r="H48" t="s">
        <v>159</v>
      </c>
      <c r="K48" s="281">
        <v>1</v>
      </c>
      <c r="L48" t="s">
        <v>105</v>
      </c>
      <c r="M48" s="10" t="s">
        <v>169</v>
      </c>
    </row>
    <row r="49" spans="2:14" x14ac:dyDescent="0.3">
      <c r="B49" t="s">
        <v>45</v>
      </c>
      <c r="C49" s="11" t="s">
        <v>409</v>
      </c>
      <c r="G49" s="273">
        <v>0.82113999999999998</v>
      </c>
      <c r="H49" t="s">
        <v>159</v>
      </c>
      <c r="K49" s="281">
        <v>1</v>
      </c>
      <c r="L49" t="s">
        <v>291</v>
      </c>
    </row>
    <row r="50" spans="2:14" x14ac:dyDescent="0.3">
      <c r="B50" t="s">
        <v>45</v>
      </c>
      <c r="C50" s="11" t="s">
        <v>411</v>
      </c>
      <c r="G50" s="273">
        <v>2.8</v>
      </c>
      <c r="H50" t="s">
        <v>159</v>
      </c>
      <c r="K50" s="281">
        <v>1</v>
      </c>
      <c r="M50" s="10" t="s">
        <v>410</v>
      </c>
    </row>
    <row r="51" spans="2:14" x14ac:dyDescent="0.3">
      <c r="B51" t="s">
        <v>45</v>
      </c>
      <c r="C51" s="11" t="s">
        <v>412</v>
      </c>
      <c r="G51" s="273">
        <v>7.7446999999999999</v>
      </c>
      <c r="H51" t="s">
        <v>159</v>
      </c>
      <c r="K51" s="281">
        <v>1</v>
      </c>
      <c r="L51" t="s">
        <v>291</v>
      </c>
    </row>
    <row r="52" spans="2:14" x14ac:dyDescent="0.3">
      <c r="B52" t="s">
        <v>45</v>
      </c>
      <c r="C52" s="11" t="s">
        <v>398</v>
      </c>
      <c r="G52" s="273">
        <v>0.36</v>
      </c>
      <c r="H52" t="s">
        <v>159</v>
      </c>
      <c r="K52" s="281">
        <v>1</v>
      </c>
      <c r="L52" t="s">
        <v>105</v>
      </c>
      <c r="M52" s="10" t="s">
        <v>169</v>
      </c>
      <c r="N52" t="s">
        <v>413</v>
      </c>
    </row>
    <row r="53" spans="2:14" x14ac:dyDescent="0.3">
      <c r="B53" t="s">
        <v>45</v>
      </c>
      <c r="C53" s="115" t="s">
        <v>416</v>
      </c>
      <c r="G53" s="273">
        <f>I53*(0.95/1000)*100</f>
        <v>0.14250000000000002</v>
      </c>
      <c r="H53" t="s">
        <v>194</v>
      </c>
      <c r="I53" s="273">
        <v>1.5</v>
      </c>
      <c r="J53" t="s">
        <v>159</v>
      </c>
      <c r="K53" s="281">
        <v>1</v>
      </c>
      <c r="L53" t="s">
        <v>291</v>
      </c>
      <c r="M53" t="s">
        <v>419</v>
      </c>
    </row>
    <row r="54" spans="2:14" x14ac:dyDescent="0.3">
      <c r="B54" t="s">
        <v>45</v>
      </c>
      <c r="C54" s="115"/>
      <c r="G54" s="273"/>
      <c r="K54" s="281"/>
    </row>
    <row r="55" spans="2:14" x14ac:dyDescent="0.3">
      <c r="B55" t="s">
        <v>45</v>
      </c>
      <c r="C55" s="115"/>
      <c r="G55" s="273"/>
      <c r="K55" s="281"/>
    </row>
    <row r="56" spans="2:14" x14ac:dyDescent="0.3">
      <c r="B56" t="s">
        <v>45</v>
      </c>
      <c r="C56" s="115"/>
      <c r="G56" s="273"/>
      <c r="K56" s="281"/>
    </row>
    <row r="57" spans="2:14" x14ac:dyDescent="0.3">
      <c r="B57" t="s">
        <v>45</v>
      </c>
      <c r="C57" s="115"/>
      <c r="G57" s="273"/>
      <c r="K57" s="281"/>
    </row>
    <row r="58" spans="2:14" x14ac:dyDescent="0.3">
      <c r="C58" s="115"/>
      <c r="G58" s="273"/>
      <c r="K58" s="281"/>
    </row>
    <row r="59" spans="2:14" x14ac:dyDescent="0.3">
      <c r="B59" t="s">
        <v>414</v>
      </c>
      <c r="C59" s="115" t="s">
        <v>394</v>
      </c>
      <c r="G59" s="273">
        <v>8</v>
      </c>
      <c r="H59" t="s">
        <v>403</v>
      </c>
      <c r="I59" s="273">
        <v>2.12</v>
      </c>
      <c r="J59" t="s">
        <v>159</v>
      </c>
      <c r="K59" s="210">
        <v>1.05</v>
      </c>
      <c r="L59" t="s">
        <v>105</v>
      </c>
      <c r="M59" t="s">
        <v>369</v>
      </c>
      <c r="N59" t="s">
        <v>404</v>
      </c>
    </row>
    <row r="60" spans="2:14" x14ac:dyDescent="0.3">
      <c r="B60" t="s">
        <v>414</v>
      </c>
      <c r="C60" s="115" t="s">
        <v>21</v>
      </c>
      <c r="G60" s="273">
        <f>AVERAGE(0.27,0.44,0.65,0.86,1.15)</f>
        <v>0.67399999999999993</v>
      </c>
      <c r="H60" t="s">
        <v>194</v>
      </c>
      <c r="I60" s="273">
        <f>3.23</f>
        <v>3.23</v>
      </c>
      <c r="J60" t="s">
        <v>159</v>
      </c>
      <c r="K60" s="281">
        <v>1.1000000000000001</v>
      </c>
      <c r="L60" t="s">
        <v>105</v>
      </c>
      <c r="M60" s="10" t="s">
        <v>369</v>
      </c>
      <c r="N60" t="s">
        <v>368</v>
      </c>
    </row>
    <row r="61" spans="2:14" x14ac:dyDescent="0.3">
      <c r="B61" t="s">
        <v>414</v>
      </c>
      <c r="C61" s="115" t="s">
        <v>399</v>
      </c>
      <c r="G61" s="273">
        <v>4.0000000000000001E-3</v>
      </c>
      <c r="H61" t="s">
        <v>159</v>
      </c>
      <c r="K61" s="281">
        <v>1.05</v>
      </c>
      <c r="L61" t="s">
        <v>105</v>
      </c>
      <c r="M61" s="10" t="s">
        <v>162</v>
      </c>
    </row>
    <row r="62" spans="2:14" x14ac:dyDescent="0.3">
      <c r="B62" t="s">
        <v>414</v>
      </c>
      <c r="C62" s="115" t="s">
        <v>400</v>
      </c>
      <c r="G62" s="273">
        <v>0</v>
      </c>
      <c r="H62" t="s">
        <v>159</v>
      </c>
      <c r="K62" s="281">
        <v>1</v>
      </c>
      <c r="M62" t="s">
        <v>431</v>
      </c>
    </row>
    <row r="63" spans="2:14" x14ac:dyDescent="0.3">
      <c r="B63" t="s">
        <v>414</v>
      </c>
      <c r="C63" s="115" t="s">
        <v>22</v>
      </c>
      <c r="G63" s="273">
        <v>4.1500000000000004</v>
      </c>
      <c r="H63" t="s">
        <v>194</v>
      </c>
      <c r="I63" s="273">
        <v>0.81499999999999995</v>
      </c>
      <c r="J63" t="s">
        <v>159</v>
      </c>
      <c r="K63" s="281">
        <v>1.05</v>
      </c>
      <c r="L63" t="s">
        <v>105</v>
      </c>
      <c r="M63" s="10" t="s">
        <v>169</v>
      </c>
    </row>
    <row r="64" spans="2:14" x14ac:dyDescent="0.3">
      <c r="B64" t="s">
        <v>414</v>
      </c>
      <c r="C64" s="115" t="s">
        <v>401</v>
      </c>
      <c r="G64" s="273">
        <v>1.143</v>
      </c>
      <c r="H64" t="s">
        <v>159</v>
      </c>
      <c r="K64" s="281">
        <v>1</v>
      </c>
      <c r="L64" t="s">
        <v>291</v>
      </c>
      <c r="M64" t="s">
        <v>405</v>
      </c>
    </row>
    <row r="65" spans="2:14" x14ac:dyDescent="0.3">
      <c r="B65" t="s">
        <v>414</v>
      </c>
      <c r="C65" s="115" t="s">
        <v>402</v>
      </c>
      <c r="G65" s="273">
        <v>1.9926999999999999</v>
      </c>
      <c r="H65" t="s">
        <v>159</v>
      </c>
      <c r="K65" s="281">
        <v>1</v>
      </c>
      <c r="L65" t="s">
        <v>291</v>
      </c>
      <c r="M65" t="s">
        <v>406</v>
      </c>
    </row>
    <row r="66" spans="2:14" x14ac:dyDescent="0.3">
      <c r="B66" t="s">
        <v>414</v>
      </c>
      <c r="C66" s="115" t="s">
        <v>397</v>
      </c>
      <c r="G66" s="273">
        <v>2.0518000000000001</v>
      </c>
      <c r="H66" t="s">
        <v>159</v>
      </c>
      <c r="K66" s="281">
        <v>1</v>
      </c>
      <c r="L66" t="s">
        <v>291</v>
      </c>
      <c r="M66" t="s">
        <v>407</v>
      </c>
    </row>
    <row r="67" spans="2:14" x14ac:dyDescent="0.3">
      <c r="B67" t="s">
        <v>414</v>
      </c>
      <c r="C67" s="11" t="s">
        <v>395</v>
      </c>
      <c r="G67" s="273">
        <v>0.4647</v>
      </c>
      <c r="H67" t="s">
        <v>159</v>
      </c>
      <c r="K67" s="281">
        <v>1</v>
      </c>
      <c r="L67" t="s">
        <v>291</v>
      </c>
      <c r="M67" t="s">
        <v>408</v>
      </c>
    </row>
    <row r="68" spans="2:14" x14ac:dyDescent="0.3">
      <c r="B68" t="s">
        <v>414</v>
      </c>
      <c r="C68" s="11" t="s">
        <v>428</v>
      </c>
      <c r="G68" s="273">
        <v>3.6</v>
      </c>
      <c r="H68" t="s">
        <v>159</v>
      </c>
      <c r="K68" s="281">
        <v>1</v>
      </c>
      <c r="L68" t="s">
        <v>105</v>
      </c>
      <c r="M68" s="10" t="s">
        <v>169</v>
      </c>
    </row>
    <row r="69" spans="2:14" x14ac:dyDescent="0.3">
      <c r="B69" t="s">
        <v>414</v>
      </c>
      <c r="C69" s="11" t="s">
        <v>409</v>
      </c>
      <c r="G69" s="273">
        <v>0.82113999999999998</v>
      </c>
      <c r="H69" t="s">
        <v>159</v>
      </c>
      <c r="K69" s="281">
        <v>1</v>
      </c>
      <c r="L69" t="s">
        <v>291</v>
      </c>
    </row>
    <row r="70" spans="2:14" x14ac:dyDescent="0.3">
      <c r="B70" t="s">
        <v>414</v>
      </c>
      <c r="C70" s="11" t="s">
        <v>411</v>
      </c>
      <c r="G70" s="273">
        <v>2.8</v>
      </c>
      <c r="H70" t="s">
        <v>159</v>
      </c>
      <c r="K70" s="281">
        <v>1</v>
      </c>
      <c r="M70" s="10" t="s">
        <v>410</v>
      </c>
    </row>
    <row r="71" spans="2:14" x14ac:dyDescent="0.3">
      <c r="B71" t="s">
        <v>414</v>
      </c>
      <c r="C71" s="11" t="s">
        <v>412</v>
      </c>
      <c r="G71" s="273">
        <v>7.7446999999999999</v>
      </c>
      <c r="H71" t="s">
        <v>159</v>
      </c>
      <c r="K71" s="281">
        <v>1</v>
      </c>
      <c r="L71" t="s">
        <v>291</v>
      </c>
    </row>
    <row r="72" spans="2:14" x14ac:dyDescent="0.3">
      <c r="B72" t="s">
        <v>414</v>
      </c>
      <c r="C72" s="11" t="s">
        <v>398</v>
      </c>
      <c r="G72" s="273">
        <v>0.36</v>
      </c>
      <c r="H72" t="s">
        <v>159</v>
      </c>
      <c r="K72" s="281">
        <v>1</v>
      </c>
      <c r="L72" t="s">
        <v>105</v>
      </c>
      <c r="M72" s="10" t="s">
        <v>169</v>
      </c>
      <c r="N72" t="s">
        <v>413</v>
      </c>
    </row>
    <row r="73" spans="2:14" x14ac:dyDescent="0.3">
      <c r="B73" t="s">
        <v>414</v>
      </c>
      <c r="C73" s="115" t="s">
        <v>416</v>
      </c>
      <c r="G73" s="273">
        <f>I73*(0.95/1000)*100</f>
        <v>0.14250000000000002</v>
      </c>
      <c r="H73" t="s">
        <v>194</v>
      </c>
      <c r="I73" s="273">
        <v>1.5</v>
      </c>
      <c r="J73" t="s">
        <v>159</v>
      </c>
      <c r="K73" s="281">
        <v>1</v>
      </c>
      <c r="L73" t="s">
        <v>291</v>
      </c>
      <c r="M73" t="s">
        <v>419</v>
      </c>
    </row>
    <row r="74" spans="2:14" x14ac:dyDescent="0.3">
      <c r="B74" t="s">
        <v>414</v>
      </c>
      <c r="C74" s="115"/>
      <c r="G74" s="273"/>
      <c r="K74" s="281"/>
    </row>
    <row r="75" spans="2:14" x14ac:dyDescent="0.3">
      <c r="B75" t="s">
        <v>414</v>
      </c>
      <c r="C75" s="115"/>
      <c r="G75" s="273"/>
      <c r="K75" s="281"/>
    </row>
    <row r="76" spans="2:14" x14ac:dyDescent="0.3">
      <c r="B76" t="s">
        <v>414</v>
      </c>
      <c r="C76" s="115"/>
      <c r="G76" s="273"/>
      <c r="K76" s="281"/>
    </row>
    <row r="77" spans="2:14" x14ac:dyDescent="0.3">
      <c r="B77" t="s">
        <v>414</v>
      </c>
      <c r="C77" s="115"/>
      <c r="G77" s="273"/>
      <c r="K77" s="281"/>
    </row>
    <row r="78" spans="2:14" x14ac:dyDescent="0.3">
      <c r="C78" s="115"/>
      <c r="G78" s="273"/>
      <c r="K78" s="281"/>
    </row>
    <row r="79" spans="2:14" x14ac:dyDescent="0.3">
      <c r="B79" t="s">
        <v>417</v>
      </c>
      <c r="C79" s="115" t="s">
        <v>394</v>
      </c>
      <c r="G79" s="273">
        <v>8</v>
      </c>
      <c r="H79" t="s">
        <v>403</v>
      </c>
      <c r="I79" s="273">
        <v>2.12</v>
      </c>
      <c r="J79" t="s">
        <v>159</v>
      </c>
      <c r="K79" s="210">
        <v>1.05</v>
      </c>
      <c r="L79" t="s">
        <v>105</v>
      </c>
      <c r="M79" t="s">
        <v>369</v>
      </c>
      <c r="N79" t="s">
        <v>404</v>
      </c>
    </row>
    <row r="80" spans="2:14" x14ac:dyDescent="0.3">
      <c r="B80" t="s">
        <v>417</v>
      </c>
      <c r="C80" s="115" t="s">
        <v>21</v>
      </c>
      <c r="G80" s="273">
        <f>AVERAGE(0.27,0.44,0.65,0.86,1.15)</f>
        <v>0.67399999999999993</v>
      </c>
      <c r="H80" t="s">
        <v>194</v>
      </c>
      <c r="I80" s="273">
        <f>3.23</f>
        <v>3.23</v>
      </c>
      <c r="J80" t="s">
        <v>159</v>
      </c>
      <c r="K80" s="281">
        <v>1.1000000000000001</v>
      </c>
      <c r="L80" t="s">
        <v>105</v>
      </c>
      <c r="M80" s="10" t="s">
        <v>369</v>
      </c>
      <c r="N80" t="s">
        <v>368</v>
      </c>
    </row>
    <row r="81" spans="2:14" x14ac:dyDescent="0.3">
      <c r="B81" t="s">
        <v>417</v>
      </c>
      <c r="C81" s="115" t="s">
        <v>399</v>
      </c>
      <c r="G81" s="273">
        <v>4.0000000000000001E-3</v>
      </c>
      <c r="H81" t="s">
        <v>159</v>
      </c>
      <c r="K81" s="281">
        <v>1.05</v>
      </c>
      <c r="L81" t="s">
        <v>105</v>
      </c>
      <c r="M81" s="10" t="s">
        <v>162</v>
      </c>
    </row>
    <row r="82" spans="2:14" x14ac:dyDescent="0.3">
      <c r="B82" t="s">
        <v>417</v>
      </c>
      <c r="C82" s="115" t="s">
        <v>400</v>
      </c>
      <c r="G82" s="273">
        <v>0</v>
      </c>
      <c r="H82" t="s">
        <v>159</v>
      </c>
      <c r="K82" s="281">
        <v>1</v>
      </c>
      <c r="M82" t="s">
        <v>431</v>
      </c>
    </row>
    <row r="83" spans="2:14" x14ac:dyDescent="0.3">
      <c r="B83" t="s">
        <v>417</v>
      </c>
      <c r="C83" s="115" t="s">
        <v>22</v>
      </c>
      <c r="G83" s="273">
        <v>4.1500000000000004</v>
      </c>
      <c r="H83" t="s">
        <v>194</v>
      </c>
      <c r="I83" s="273">
        <v>0.81499999999999995</v>
      </c>
      <c r="J83" t="s">
        <v>159</v>
      </c>
      <c r="K83" s="281">
        <v>1.05</v>
      </c>
      <c r="L83" t="s">
        <v>105</v>
      </c>
      <c r="M83" s="10" t="s">
        <v>169</v>
      </c>
    </row>
    <row r="84" spans="2:14" x14ac:dyDescent="0.3">
      <c r="B84" t="s">
        <v>417</v>
      </c>
      <c r="C84" s="115" t="s">
        <v>415</v>
      </c>
      <c r="G84" s="273">
        <v>0.05</v>
      </c>
      <c r="H84" t="s">
        <v>159</v>
      </c>
      <c r="K84" s="281">
        <v>1.05</v>
      </c>
      <c r="L84" t="s">
        <v>105</v>
      </c>
      <c r="M84" s="10" t="s">
        <v>418</v>
      </c>
    </row>
    <row r="85" spans="2:14" x14ac:dyDescent="0.3">
      <c r="B85" t="s">
        <v>417</v>
      </c>
      <c r="C85" s="115" t="s">
        <v>416</v>
      </c>
      <c r="G85" s="273">
        <f>I85*(0.95/1000)*100</f>
        <v>0.14250000000000002</v>
      </c>
      <c r="H85" t="s">
        <v>194</v>
      </c>
      <c r="I85" s="273">
        <v>1.5</v>
      </c>
      <c r="J85" t="s">
        <v>159</v>
      </c>
      <c r="K85" s="281">
        <v>1</v>
      </c>
      <c r="L85" t="s">
        <v>291</v>
      </c>
      <c r="M85" t="s">
        <v>419</v>
      </c>
    </row>
    <row r="86" spans="2:14" x14ac:dyDescent="0.3">
      <c r="B86" t="s">
        <v>417</v>
      </c>
      <c r="C86" s="115" t="s">
        <v>397</v>
      </c>
      <c r="G86" s="273">
        <v>2.0518000000000001</v>
      </c>
      <c r="H86" t="s">
        <v>159</v>
      </c>
      <c r="K86" s="281">
        <v>1</v>
      </c>
      <c r="L86" t="s">
        <v>291</v>
      </c>
      <c r="M86" t="s">
        <v>407</v>
      </c>
    </row>
    <row r="87" spans="2:14" x14ac:dyDescent="0.3">
      <c r="B87" t="s">
        <v>417</v>
      </c>
      <c r="C87" s="11" t="s">
        <v>395</v>
      </c>
      <c r="G87" s="273">
        <v>0.4647</v>
      </c>
      <c r="H87" t="s">
        <v>159</v>
      </c>
      <c r="K87" s="281">
        <v>1</v>
      </c>
      <c r="L87" t="s">
        <v>291</v>
      </c>
      <c r="M87" t="s">
        <v>408</v>
      </c>
    </row>
    <row r="88" spans="2:14" x14ac:dyDescent="0.3">
      <c r="B88" t="s">
        <v>417</v>
      </c>
      <c r="C88" s="11" t="s">
        <v>428</v>
      </c>
      <c r="G88" s="273">
        <v>3.6</v>
      </c>
      <c r="H88" t="s">
        <v>159</v>
      </c>
      <c r="K88" s="281">
        <v>1</v>
      </c>
      <c r="L88" t="s">
        <v>105</v>
      </c>
      <c r="M88" s="10" t="s">
        <v>169</v>
      </c>
    </row>
    <row r="89" spans="2:14" x14ac:dyDescent="0.3">
      <c r="B89" t="s">
        <v>417</v>
      </c>
      <c r="C89" s="11" t="s">
        <v>409</v>
      </c>
      <c r="G89" s="273">
        <v>0.82113999999999998</v>
      </c>
      <c r="H89" t="s">
        <v>159</v>
      </c>
      <c r="K89" s="281">
        <v>1</v>
      </c>
      <c r="L89" t="s">
        <v>291</v>
      </c>
    </row>
    <row r="90" spans="2:14" x14ac:dyDescent="0.3">
      <c r="B90" t="s">
        <v>417</v>
      </c>
      <c r="C90" s="11" t="s">
        <v>411</v>
      </c>
      <c r="G90" s="273">
        <v>2.8</v>
      </c>
      <c r="H90" t="s">
        <v>159</v>
      </c>
      <c r="K90" s="281">
        <v>1</v>
      </c>
      <c r="M90" s="10" t="s">
        <v>410</v>
      </c>
    </row>
    <row r="91" spans="2:14" x14ac:dyDescent="0.3">
      <c r="B91" t="s">
        <v>417</v>
      </c>
      <c r="C91" s="11" t="s">
        <v>412</v>
      </c>
      <c r="G91" s="273">
        <v>7.7446999999999999</v>
      </c>
      <c r="H91" t="s">
        <v>159</v>
      </c>
      <c r="K91" s="281">
        <v>1</v>
      </c>
      <c r="L91" t="s">
        <v>291</v>
      </c>
    </row>
    <row r="92" spans="2:14" x14ac:dyDescent="0.3">
      <c r="B92" t="s">
        <v>417</v>
      </c>
      <c r="C92" s="11" t="s">
        <v>398</v>
      </c>
      <c r="G92" s="273">
        <v>0.36</v>
      </c>
      <c r="H92" t="s">
        <v>159</v>
      </c>
      <c r="K92" s="281">
        <v>1</v>
      </c>
      <c r="L92" t="s">
        <v>105</v>
      </c>
      <c r="M92" s="10" t="s">
        <v>169</v>
      </c>
      <c r="N92" t="s">
        <v>413</v>
      </c>
    </row>
    <row r="93" spans="2:14" x14ac:dyDescent="0.3">
      <c r="B93" t="s">
        <v>417</v>
      </c>
      <c r="C93" s="11"/>
      <c r="G93" s="273"/>
      <c r="K93" s="281"/>
      <c r="M93" s="10"/>
    </row>
    <row r="94" spans="2:14" x14ac:dyDescent="0.3">
      <c r="B94" t="s">
        <v>417</v>
      </c>
      <c r="C94" s="11"/>
      <c r="G94" s="273"/>
      <c r="K94" s="281"/>
      <c r="M94" s="10"/>
    </row>
    <row r="95" spans="2:14" x14ac:dyDescent="0.3">
      <c r="B95" t="s">
        <v>417</v>
      </c>
      <c r="C95" s="11"/>
      <c r="G95" s="273"/>
      <c r="K95" s="281"/>
      <c r="M95" s="10"/>
    </row>
    <row r="96" spans="2:14" x14ac:dyDescent="0.3">
      <c r="B96" t="s">
        <v>417</v>
      </c>
      <c r="C96" s="11"/>
      <c r="G96" s="273"/>
      <c r="K96" s="281"/>
      <c r="M96" s="10"/>
    </row>
    <row r="98" spans="2:14" x14ac:dyDescent="0.3">
      <c r="B98" t="s">
        <v>58</v>
      </c>
      <c r="C98" s="115" t="s">
        <v>394</v>
      </c>
      <c r="G98" s="273">
        <v>8</v>
      </c>
      <c r="H98" t="s">
        <v>403</v>
      </c>
      <c r="I98" s="273">
        <v>2.12</v>
      </c>
      <c r="J98" t="s">
        <v>159</v>
      </c>
      <c r="K98" s="210">
        <v>1.05</v>
      </c>
      <c r="L98" t="s">
        <v>105</v>
      </c>
      <c r="M98" t="s">
        <v>369</v>
      </c>
    </row>
    <row r="99" spans="2:14" x14ac:dyDescent="0.3">
      <c r="B99" t="s">
        <v>58</v>
      </c>
      <c r="C99" s="115" t="s">
        <v>21</v>
      </c>
      <c r="G99" s="273">
        <f>AVERAGE(0.27,0.44,0.65,0.86,1.15)</f>
        <v>0.67399999999999993</v>
      </c>
      <c r="H99" t="s">
        <v>194</v>
      </c>
      <c r="I99" s="273">
        <f>3.23</f>
        <v>3.23</v>
      </c>
      <c r="J99" t="s">
        <v>159</v>
      </c>
      <c r="K99" s="281">
        <v>1.1000000000000001</v>
      </c>
      <c r="L99" t="s">
        <v>105</v>
      </c>
      <c r="M99" s="10" t="s">
        <v>369</v>
      </c>
    </row>
    <row r="100" spans="2:14" x14ac:dyDescent="0.3">
      <c r="B100" t="s">
        <v>58</v>
      </c>
      <c r="C100" s="115" t="s">
        <v>399</v>
      </c>
      <c r="G100" s="273">
        <v>4.0000000000000001E-3</v>
      </c>
      <c r="H100" t="s">
        <v>159</v>
      </c>
      <c r="K100" s="281">
        <v>1.05</v>
      </c>
      <c r="L100" t="s">
        <v>105</v>
      </c>
      <c r="M100" s="10" t="s">
        <v>162</v>
      </c>
    </row>
    <row r="101" spans="2:14" x14ac:dyDescent="0.3">
      <c r="B101" t="s">
        <v>58</v>
      </c>
      <c r="C101" s="115" t="s">
        <v>400</v>
      </c>
      <c r="G101" s="273">
        <v>0</v>
      </c>
      <c r="H101" t="s">
        <v>159</v>
      </c>
      <c r="K101" s="281">
        <v>1</v>
      </c>
      <c r="M101" t="s">
        <v>431</v>
      </c>
    </row>
    <row r="102" spans="2:14" x14ac:dyDescent="0.3">
      <c r="B102" t="s">
        <v>58</v>
      </c>
      <c r="C102" s="115" t="s">
        <v>22</v>
      </c>
      <c r="G102" s="273">
        <v>4.1500000000000004</v>
      </c>
      <c r="H102" t="s">
        <v>194</v>
      </c>
      <c r="I102" s="273">
        <v>0.81499999999999995</v>
      </c>
      <c r="J102" t="s">
        <v>159</v>
      </c>
      <c r="K102" s="281">
        <v>1.05</v>
      </c>
      <c r="L102" t="s">
        <v>105</v>
      </c>
      <c r="M102" s="10" t="s">
        <v>169</v>
      </c>
    </row>
    <row r="103" spans="2:14" x14ac:dyDescent="0.3">
      <c r="B103" t="s">
        <v>58</v>
      </c>
      <c r="C103" s="115" t="s">
        <v>423</v>
      </c>
      <c r="G103" s="273">
        <v>0.05</v>
      </c>
      <c r="H103" t="s">
        <v>159</v>
      </c>
      <c r="K103" s="281">
        <v>1.05</v>
      </c>
      <c r="L103" t="s">
        <v>105</v>
      </c>
      <c r="M103" s="10" t="s">
        <v>418</v>
      </c>
    </row>
    <row r="104" spans="2:14" x14ac:dyDescent="0.3">
      <c r="B104" t="s">
        <v>58</v>
      </c>
      <c r="C104" s="115" t="s">
        <v>416</v>
      </c>
      <c r="G104" s="273">
        <f>I104*(0.95/1000)*100</f>
        <v>0.14250000000000002</v>
      </c>
      <c r="H104" t="s">
        <v>194</v>
      </c>
      <c r="I104" s="273">
        <v>1.5</v>
      </c>
      <c r="J104" t="s">
        <v>159</v>
      </c>
      <c r="K104" s="281">
        <v>1</v>
      </c>
      <c r="L104" t="s">
        <v>291</v>
      </c>
      <c r="M104" t="s">
        <v>419</v>
      </c>
    </row>
    <row r="105" spans="2:14" x14ac:dyDescent="0.3">
      <c r="B105" t="s">
        <v>58</v>
      </c>
      <c r="C105" s="115" t="s">
        <v>421</v>
      </c>
      <c r="G105" s="273">
        <v>0.2</v>
      </c>
      <c r="H105" t="s">
        <v>427</v>
      </c>
      <c r="K105" s="281">
        <v>1</v>
      </c>
      <c r="L105" t="s">
        <v>105</v>
      </c>
      <c r="M105" t="s">
        <v>169</v>
      </c>
    </row>
    <row r="106" spans="2:14" x14ac:dyDescent="0.3">
      <c r="B106" t="s">
        <v>58</v>
      </c>
      <c r="C106" s="11" t="s">
        <v>420</v>
      </c>
      <c r="G106" s="273">
        <v>1.7500000000000002E-2</v>
      </c>
      <c r="H106" t="s">
        <v>159</v>
      </c>
      <c r="K106" s="281">
        <v>1</v>
      </c>
      <c r="L106" t="s">
        <v>105</v>
      </c>
      <c r="M106" t="s">
        <v>169</v>
      </c>
      <c r="N106" t="s">
        <v>426</v>
      </c>
    </row>
    <row r="107" spans="2:14" x14ac:dyDescent="0.3">
      <c r="B107" t="s">
        <v>58</v>
      </c>
      <c r="C107" s="11" t="s">
        <v>428</v>
      </c>
      <c r="G107" s="273">
        <v>3.6</v>
      </c>
      <c r="H107" t="s">
        <v>159</v>
      </c>
      <c r="K107" s="281">
        <v>1</v>
      </c>
      <c r="L107" t="s">
        <v>105</v>
      </c>
      <c r="M107" s="10" t="s">
        <v>169</v>
      </c>
    </row>
    <row r="108" spans="2:14" x14ac:dyDescent="0.3">
      <c r="B108" t="s">
        <v>58</v>
      </c>
      <c r="C108" s="11" t="s">
        <v>409</v>
      </c>
      <c r="G108" s="273">
        <v>0.82113999999999998</v>
      </c>
      <c r="H108" t="s">
        <v>159</v>
      </c>
      <c r="K108" s="281">
        <v>1</v>
      </c>
      <c r="L108" t="s">
        <v>291</v>
      </c>
    </row>
    <row r="109" spans="2:14" x14ac:dyDescent="0.3">
      <c r="B109" t="s">
        <v>58</v>
      </c>
      <c r="C109" s="11" t="s">
        <v>411</v>
      </c>
      <c r="G109" s="273">
        <v>2.8</v>
      </c>
      <c r="H109" t="s">
        <v>159</v>
      </c>
      <c r="K109" s="281">
        <v>1</v>
      </c>
      <c r="M109" s="10" t="s">
        <v>410</v>
      </c>
    </row>
    <row r="110" spans="2:14" x14ac:dyDescent="0.3">
      <c r="B110" t="s">
        <v>58</v>
      </c>
      <c r="C110" s="11" t="s">
        <v>412</v>
      </c>
      <c r="G110" s="273">
        <v>7.7446999999999999</v>
      </c>
      <c r="H110" t="s">
        <v>159</v>
      </c>
      <c r="K110" s="281">
        <v>1</v>
      </c>
      <c r="L110" t="s">
        <v>291</v>
      </c>
    </row>
    <row r="111" spans="2:14" x14ac:dyDescent="0.3">
      <c r="B111" t="s">
        <v>58</v>
      </c>
      <c r="C111" s="11" t="s">
        <v>398</v>
      </c>
      <c r="G111" s="273">
        <v>0.36</v>
      </c>
      <c r="H111" t="s">
        <v>159</v>
      </c>
      <c r="K111" s="281">
        <v>1</v>
      </c>
      <c r="L111" t="s">
        <v>105</v>
      </c>
      <c r="M111" s="10" t="s">
        <v>169</v>
      </c>
    </row>
    <row r="112" spans="2:14" x14ac:dyDescent="0.3">
      <c r="B112" t="s">
        <v>58</v>
      </c>
      <c r="C112" s="11"/>
      <c r="G112" s="273"/>
      <c r="K112" s="281"/>
      <c r="M112" s="10"/>
    </row>
    <row r="113" spans="2:14" x14ac:dyDescent="0.3">
      <c r="B113" t="s">
        <v>58</v>
      </c>
      <c r="C113" s="11"/>
      <c r="G113" s="273"/>
      <c r="K113" s="281"/>
      <c r="M113" s="10"/>
    </row>
    <row r="114" spans="2:14" x14ac:dyDescent="0.3">
      <c r="B114" t="s">
        <v>58</v>
      </c>
      <c r="C114" s="11"/>
      <c r="G114" s="273"/>
      <c r="K114" s="281"/>
      <c r="M114" s="10"/>
    </row>
    <row r="115" spans="2:14" x14ac:dyDescent="0.3">
      <c r="B115" t="s">
        <v>58</v>
      </c>
      <c r="C115" s="11"/>
      <c r="G115" s="273"/>
      <c r="K115" s="281"/>
      <c r="M115" s="10"/>
    </row>
    <row r="117" spans="2:14" x14ac:dyDescent="0.3">
      <c r="B117" t="s">
        <v>422</v>
      </c>
      <c r="C117" s="115" t="s">
        <v>394</v>
      </c>
      <c r="G117" s="273">
        <v>8</v>
      </c>
      <c r="H117" t="s">
        <v>403</v>
      </c>
      <c r="I117" s="273">
        <v>2.12</v>
      </c>
      <c r="J117" t="s">
        <v>159</v>
      </c>
      <c r="K117" s="210">
        <v>1.05</v>
      </c>
      <c r="L117" t="s">
        <v>105</v>
      </c>
      <c r="M117" t="s">
        <v>369</v>
      </c>
    </row>
    <row r="118" spans="2:14" x14ac:dyDescent="0.3">
      <c r="B118" t="s">
        <v>422</v>
      </c>
      <c r="C118" s="115" t="s">
        <v>21</v>
      </c>
      <c r="G118" s="273">
        <f>AVERAGE(0.27,0.44,0.65,0.86,1.15)</f>
        <v>0.67399999999999993</v>
      </c>
      <c r="H118" t="s">
        <v>194</v>
      </c>
      <c r="I118" s="273">
        <f>3.23</f>
        <v>3.23</v>
      </c>
      <c r="J118" t="s">
        <v>159</v>
      </c>
      <c r="K118" s="281">
        <v>1.1000000000000001</v>
      </c>
      <c r="L118" t="s">
        <v>105</v>
      </c>
      <c r="M118" s="10" t="s">
        <v>369</v>
      </c>
    </row>
    <row r="119" spans="2:14" x14ac:dyDescent="0.3">
      <c r="B119" t="s">
        <v>422</v>
      </c>
      <c r="C119" s="115" t="s">
        <v>399</v>
      </c>
      <c r="G119" s="273">
        <v>4.0000000000000001E-3</v>
      </c>
      <c r="H119" t="s">
        <v>159</v>
      </c>
      <c r="K119" s="281">
        <v>1.05</v>
      </c>
      <c r="L119" t="s">
        <v>105</v>
      </c>
      <c r="M119" s="10" t="s">
        <v>162</v>
      </c>
    </row>
    <row r="120" spans="2:14" x14ac:dyDescent="0.3">
      <c r="B120" t="s">
        <v>422</v>
      </c>
      <c r="C120" s="115" t="s">
        <v>400</v>
      </c>
      <c r="G120" s="273">
        <v>0</v>
      </c>
      <c r="H120" t="s">
        <v>159</v>
      </c>
      <c r="K120" s="281">
        <v>1</v>
      </c>
      <c r="M120" t="s">
        <v>431</v>
      </c>
    </row>
    <row r="121" spans="2:14" x14ac:dyDescent="0.3">
      <c r="B121" t="s">
        <v>422</v>
      </c>
      <c r="C121" s="115" t="s">
        <v>22</v>
      </c>
      <c r="G121" s="273">
        <v>4.1500000000000004</v>
      </c>
      <c r="H121" t="s">
        <v>194</v>
      </c>
      <c r="I121" s="273">
        <v>0.81499999999999995</v>
      </c>
      <c r="J121" t="s">
        <v>159</v>
      </c>
      <c r="K121" s="281">
        <v>1.05</v>
      </c>
      <c r="L121" t="s">
        <v>105</v>
      </c>
      <c r="M121" s="10" t="s">
        <v>169</v>
      </c>
    </row>
    <row r="122" spans="2:14" x14ac:dyDescent="0.3">
      <c r="B122" t="s">
        <v>422</v>
      </c>
      <c r="C122" s="115" t="s">
        <v>423</v>
      </c>
      <c r="G122" s="273">
        <v>0.05</v>
      </c>
      <c r="H122" t="s">
        <v>159</v>
      </c>
      <c r="K122" s="281">
        <v>1.05</v>
      </c>
      <c r="L122" t="s">
        <v>105</v>
      </c>
      <c r="M122" s="10" t="s">
        <v>418</v>
      </c>
    </row>
    <row r="123" spans="2:14" x14ac:dyDescent="0.3">
      <c r="B123" t="s">
        <v>422</v>
      </c>
      <c r="C123" s="115" t="s">
        <v>416</v>
      </c>
      <c r="G123" s="273">
        <f>I123*(0.95/1000)*100</f>
        <v>0.14250000000000002</v>
      </c>
      <c r="H123" t="s">
        <v>194</v>
      </c>
      <c r="I123" s="273">
        <v>1.5</v>
      </c>
      <c r="J123" t="s">
        <v>159</v>
      </c>
      <c r="K123" s="281">
        <v>1</v>
      </c>
      <c r="L123" t="s">
        <v>291</v>
      </c>
      <c r="M123" t="s">
        <v>419</v>
      </c>
    </row>
    <row r="124" spans="2:14" x14ac:dyDescent="0.3">
      <c r="B124" t="s">
        <v>422</v>
      </c>
      <c r="C124" s="115" t="s">
        <v>424</v>
      </c>
      <c r="G124" s="273">
        <v>8.6999999999999993</v>
      </c>
      <c r="H124" t="s">
        <v>425</v>
      </c>
      <c r="I124" s="273">
        <v>1.7000000000000001E-2</v>
      </c>
      <c r="J124" t="s">
        <v>159</v>
      </c>
      <c r="K124" s="281">
        <v>1.05</v>
      </c>
      <c r="L124" t="s">
        <v>105</v>
      </c>
      <c r="M124" t="s">
        <v>169</v>
      </c>
    </row>
    <row r="125" spans="2:14" x14ac:dyDescent="0.3">
      <c r="B125" t="s">
        <v>422</v>
      </c>
      <c r="C125" s="11" t="s">
        <v>420</v>
      </c>
      <c r="G125" s="273">
        <v>1.7500000000000002E-2</v>
      </c>
      <c r="H125" t="s">
        <v>159</v>
      </c>
      <c r="K125" s="281">
        <v>1</v>
      </c>
      <c r="L125" t="s">
        <v>105</v>
      </c>
      <c r="M125" t="s">
        <v>169</v>
      </c>
      <c r="N125" t="s">
        <v>426</v>
      </c>
    </row>
    <row r="126" spans="2:14" x14ac:dyDescent="0.3">
      <c r="B126" t="s">
        <v>422</v>
      </c>
      <c r="C126" s="11" t="s">
        <v>428</v>
      </c>
      <c r="G126" s="273">
        <v>3.6</v>
      </c>
      <c r="H126" t="s">
        <v>159</v>
      </c>
      <c r="K126" s="281">
        <v>1</v>
      </c>
      <c r="L126" t="s">
        <v>105</v>
      </c>
      <c r="M126" s="10" t="s">
        <v>169</v>
      </c>
    </row>
    <row r="127" spans="2:14" x14ac:dyDescent="0.3">
      <c r="B127" t="s">
        <v>422</v>
      </c>
      <c r="C127" s="11" t="s">
        <v>409</v>
      </c>
      <c r="G127" s="273">
        <v>0.82113999999999998</v>
      </c>
      <c r="H127" t="s">
        <v>159</v>
      </c>
      <c r="K127" s="281">
        <v>1</v>
      </c>
      <c r="L127" t="s">
        <v>291</v>
      </c>
    </row>
    <row r="128" spans="2:14" x14ac:dyDescent="0.3">
      <c r="B128" t="s">
        <v>422</v>
      </c>
      <c r="C128" s="11" t="s">
        <v>411</v>
      </c>
      <c r="G128" s="273">
        <v>2.8</v>
      </c>
      <c r="H128" t="s">
        <v>159</v>
      </c>
      <c r="K128" s="281">
        <v>1</v>
      </c>
      <c r="M128" s="10" t="s">
        <v>410</v>
      </c>
    </row>
    <row r="129" spans="2:14" x14ac:dyDescent="0.3">
      <c r="B129" t="s">
        <v>422</v>
      </c>
      <c r="C129" s="11" t="s">
        <v>412</v>
      </c>
      <c r="G129" s="273">
        <v>7.7446999999999999</v>
      </c>
      <c r="H129" t="s">
        <v>159</v>
      </c>
      <c r="K129" s="281">
        <v>1</v>
      </c>
      <c r="L129" t="s">
        <v>291</v>
      </c>
    </row>
    <row r="130" spans="2:14" x14ac:dyDescent="0.3">
      <c r="B130" t="s">
        <v>422</v>
      </c>
      <c r="C130" s="11" t="s">
        <v>398</v>
      </c>
      <c r="G130" s="273">
        <v>0.36</v>
      </c>
      <c r="H130" t="s">
        <v>159</v>
      </c>
      <c r="K130" s="281">
        <v>1</v>
      </c>
      <c r="L130" t="s">
        <v>105</v>
      </c>
      <c r="M130" s="10" t="s">
        <v>169</v>
      </c>
    </row>
    <row r="131" spans="2:14" x14ac:dyDescent="0.3">
      <c r="B131" t="s">
        <v>422</v>
      </c>
      <c r="C131" s="11"/>
      <c r="G131" s="273"/>
      <c r="K131" s="281"/>
      <c r="M131" s="10"/>
    </row>
    <row r="132" spans="2:14" x14ac:dyDescent="0.3">
      <c r="B132" t="s">
        <v>422</v>
      </c>
      <c r="C132" s="11"/>
      <c r="G132" s="273"/>
      <c r="K132" s="281"/>
      <c r="M132" s="10"/>
    </row>
    <row r="133" spans="2:14" x14ac:dyDescent="0.3">
      <c r="B133" t="s">
        <v>422</v>
      </c>
      <c r="C133" s="11"/>
      <c r="G133" s="273"/>
      <c r="K133" s="281"/>
      <c r="M133" s="10"/>
    </row>
    <row r="134" spans="2:14" x14ac:dyDescent="0.3">
      <c r="B134" t="s">
        <v>422</v>
      </c>
      <c r="C134" s="11"/>
      <c r="G134" s="273"/>
      <c r="K134" s="281"/>
      <c r="N134" s="10"/>
    </row>
  </sheetData>
  <hyperlinks>
    <hyperlink ref="M25" r:id="rId1" xr:uid="{33594218-97A1-43C0-BAF4-4A7E3F08EA61}"/>
    <hyperlink ref="M32" r:id="rId2" xr:uid="{0AB41267-DEA7-466C-8423-08178AEE3C86}"/>
    <hyperlink ref="M28" r:id="rId3" display="https://co2data.fi/infra/reports/INFRA muovituotteet R01.04.pdf" xr:uid="{0569F1AF-A426-4605-A74D-806197A44A29}"/>
    <hyperlink ref="M40" r:id="rId4" xr:uid="{AA810863-0466-485E-B9D2-4AE7AE3D1B76}"/>
    <hyperlink ref="M60" r:id="rId5" xr:uid="{B8F2FDC0-7918-4AEF-89BC-F20079172807}"/>
    <hyperlink ref="M80" r:id="rId6" xr:uid="{CFECF636-B10B-4115-93AF-5D1085093158}"/>
    <hyperlink ref="M99" r:id="rId7" xr:uid="{C4912B1F-76A3-46B8-A6E1-72976397CB70}"/>
    <hyperlink ref="M118" r:id="rId8" xr:uid="{1196C163-3CEE-46E8-8CBD-30BEA9745481}"/>
  </hyperlinks>
  <pageMargins left="0.70866141732283472" right="0.70866141732283472" top="0.74803149606299213" bottom="0.74803149606299213" header="0.31496062992125984" footer="0.31496062992125984"/>
  <pageSetup paperSize="8" scale="60" orientation="landscape" verticalDpi="0" r:id="rId9"/>
  <headerFooter>
    <oddHeader>&amp;L&amp;"-,Lihavoitu"&amp;12PIIP-laskentatyökalu&amp;RKertoimet: Materiaalit
Sivu &amp;P/&amp;N</oddHeader>
    <oddFooter>&amp;L&amp;G&amp;R&amp;G</oddFooter>
  </headerFooter>
  <legacyDrawingHF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F8D52-E23E-45FE-8A4D-772E93F189C7}">
  <sheetPr codeName="Sheet11">
    <tabColor theme="8" tint="0.79998168889431442"/>
  </sheetPr>
  <dimension ref="A1:T108"/>
  <sheetViews>
    <sheetView zoomScaleNormal="100" zoomScaleSheetLayoutView="100" workbookViewId="0">
      <pane xSplit="1" ySplit="2" topLeftCell="B3" activePane="bottomRight" state="frozen"/>
      <selection pane="topRight" activeCell="B1" sqref="B1"/>
      <selection pane="bottomLeft" activeCell="A3" sqref="A3"/>
      <selection pane="bottomRight" activeCell="D35" sqref="D35"/>
    </sheetView>
  </sheetViews>
  <sheetFormatPr defaultColWidth="8.75" defaultRowHeight="15.5" x14ac:dyDescent="0.3"/>
  <cols>
    <col min="1" max="1" width="2.75" style="116" customWidth="1"/>
    <col min="2" max="2" width="14.33203125" style="116" bestFit="1" customWidth="1"/>
    <col min="3" max="3" width="55.25" style="116" bestFit="1" customWidth="1"/>
    <col min="4" max="4" width="13.83203125" style="116" bestFit="1" customWidth="1"/>
    <col min="5" max="5" width="10.75" style="116" customWidth="1"/>
    <col min="6" max="6" width="12" style="116" bestFit="1" customWidth="1"/>
    <col min="7" max="7" width="6.75" style="116" bestFit="1" customWidth="1"/>
    <col min="8" max="8" width="12.08203125" style="116" bestFit="1" customWidth="1"/>
    <col min="9" max="9" width="17.83203125" style="116" bestFit="1" customWidth="1"/>
    <col min="10" max="10" width="7.33203125" style="116" bestFit="1" customWidth="1"/>
    <col min="11" max="11" width="6.75" style="116" bestFit="1" customWidth="1"/>
    <col min="12" max="12" width="11.5" style="116" bestFit="1" customWidth="1"/>
    <col min="13" max="13" width="6.75" style="116" bestFit="1" customWidth="1"/>
    <col min="14" max="14" width="10.5" style="116" bestFit="1" customWidth="1"/>
    <col min="15" max="15" width="4.25" style="116" customWidth="1"/>
    <col min="16" max="16" width="26.58203125" style="116" customWidth="1"/>
    <col min="17" max="17" width="10.58203125" style="116" bestFit="1" customWidth="1"/>
    <col min="18" max="18" width="8.75" style="116"/>
    <col min="19" max="19" width="14.25" style="116" bestFit="1" customWidth="1"/>
    <col min="20" max="16384" width="8.75" style="116"/>
  </cols>
  <sheetData>
    <row r="1" spans="1:10" s="34" customFormat="1" x14ac:dyDescent="0.3">
      <c r="A1" s="31"/>
      <c r="B1" s="31"/>
      <c r="D1" s="84"/>
      <c r="E1" s="31"/>
      <c r="F1" s="31"/>
      <c r="H1" s="84"/>
      <c r="I1" s="31"/>
      <c r="J1" s="33"/>
    </row>
    <row r="2" spans="1:10" s="27" customFormat="1" ht="30" x14ac:dyDescent="0.3">
      <c r="A2" s="25"/>
      <c r="B2" s="8" t="s">
        <v>619</v>
      </c>
      <c r="D2" s="85"/>
      <c r="E2" s="25"/>
      <c r="F2" s="25"/>
      <c r="H2" s="85"/>
      <c r="I2" s="25"/>
      <c r="J2" s="26"/>
    </row>
    <row r="3" spans="1:10" s="34" customFormat="1" x14ac:dyDescent="0.3">
      <c r="A3" s="31"/>
      <c r="B3" s="31"/>
      <c r="D3" s="84"/>
      <c r="E3" s="31"/>
      <c r="F3" s="31"/>
      <c r="H3" s="84"/>
      <c r="I3" s="31"/>
      <c r="J3" s="33"/>
    </row>
    <row r="5" spans="1:10" x14ac:dyDescent="0.3">
      <c r="B5" s="116" t="s">
        <v>17</v>
      </c>
      <c r="C5" s="117" t="s">
        <v>124</v>
      </c>
      <c r="D5" s="118"/>
      <c r="E5" s="119">
        <v>13.05</v>
      </c>
      <c r="F5" s="116" t="s">
        <v>134</v>
      </c>
      <c r="H5" s="116" t="s">
        <v>105</v>
      </c>
      <c r="I5" s="120" t="s">
        <v>142</v>
      </c>
    </row>
    <row r="6" spans="1:10" x14ac:dyDescent="0.3">
      <c r="B6" s="116" t="s">
        <v>17</v>
      </c>
      <c r="C6" s="117" t="s">
        <v>125</v>
      </c>
      <c r="D6" s="118"/>
      <c r="E6" s="119">
        <v>17.87</v>
      </c>
      <c r="F6" s="116" t="s">
        <v>134</v>
      </c>
      <c r="H6" s="116" t="s">
        <v>105</v>
      </c>
      <c r="I6" s="120" t="s">
        <v>142</v>
      </c>
    </row>
    <row r="7" spans="1:10" x14ac:dyDescent="0.3">
      <c r="B7" s="116" t="s">
        <v>17</v>
      </c>
      <c r="C7" s="117" t="s">
        <v>126</v>
      </c>
      <c r="D7" s="118"/>
      <c r="E7" s="119">
        <v>22.79</v>
      </c>
      <c r="F7" s="116" t="s">
        <v>134</v>
      </c>
      <c r="H7" s="116" t="s">
        <v>105</v>
      </c>
      <c r="I7" s="120" t="s">
        <v>142</v>
      </c>
    </row>
    <row r="8" spans="1:10" x14ac:dyDescent="0.3">
      <c r="B8" s="116" t="s">
        <v>17</v>
      </c>
      <c r="C8" s="117" t="s">
        <v>127</v>
      </c>
      <c r="D8" s="118"/>
      <c r="E8" s="119">
        <v>27.61</v>
      </c>
      <c r="F8" s="116" t="s">
        <v>134</v>
      </c>
      <c r="H8" s="116" t="s">
        <v>105</v>
      </c>
      <c r="I8" s="120" t="s">
        <v>142</v>
      </c>
    </row>
    <row r="9" spans="1:10" x14ac:dyDescent="0.3">
      <c r="B9" s="116" t="s">
        <v>17</v>
      </c>
      <c r="C9" s="117" t="s">
        <v>128</v>
      </c>
      <c r="D9" s="118"/>
      <c r="E9" s="119">
        <v>34.130000000000003</v>
      </c>
      <c r="F9" s="116" t="s">
        <v>134</v>
      </c>
      <c r="H9" s="116" t="s">
        <v>105</v>
      </c>
      <c r="I9" s="120" t="s">
        <v>142</v>
      </c>
    </row>
    <row r="10" spans="1:10" x14ac:dyDescent="0.3">
      <c r="B10" s="116" t="s">
        <v>17</v>
      </c>
      <c r="C10" s="117" t="s">
        <v>129</v>
      </c>
      <c r="D10" s="118"/>
      <c r="E10" s="119">
        <v>40.659999999999997</v>
      </c>
      <c r="F10" s="116" t="s">
        <v>134</v>
      </c>
      <c r="H10" s="116" t="s">
        <v>105</v>
      </c>
      <c r="I10" s="120" t="s">
        <v>142</v>
      </c>
    </row>
    <row r="11" spans="1:10" x14ac:dyDescent="0.3">
      <c r="B11" s="116" t="s">
        <v>17</v>
      </c>
      <c r="C11" s="117" t="s">
        <v>130</v>
      </c>
      <c r="D11" s="118"/>
      <c r="E11" s="119">
        <v>48.79</v>
      </c>
      <c r="F11" s="116" t="s">
        <v>134</v>
      </c>
      <c r="H11" s="116" t="s">
        <v>105</v>
      </c>
      <c r="I11" s="120" t="s">
        <v>142</v>
      </c>
    </row>
    <row r="12" spans="1:10" x14ac:dyDescent="0.3">
      <c r="B12" s="116" t="s">
        <v>17</v>
      </c>
      <c r="C12" s="117" t="s">
        <v>131</v>
      </c>
      <c r="D12" s="118"/>
      <c r="E12" s="119">
        <v>56.92</v>
      </c>
      <c r="F12" s="116" t="s">
        <v>134</v>
      </c>
      <c r="H12" s="116" t="s">
        <v>105</v>
      </c>
      <c r="I12" s="120" t="s">
        <v>142</v>
      </c>
    </row>
    <row r="13" spans="1:10" x14ac:dyDescent="0.3">
      <c r="B13" s="116" t="s">
        <v>17</v>
      </c>
      <c r="C13" s="117" t="s">
        <v>132</v>
      </c>
      <c r="D13" s="118"/>
      <c r="E13" s="119">
        <v>73.180000000000007</v>
      </c>
      <c r="F13" s="116" t="s">
        <v>134</v>
      </c>
      <c r="H13" s="116" t="s">
        <v>105</v>
      </c>
      <c r="I13" s="120" t="s">
        <v>142</v>
      </c>
    </row>
    <row r="14" spans="1:10" x14ac:dyDescent="0.3">
      <c r="B14" s="116" t="s">
        <v>17</v>
      </c>
      <c r="C14" s="117" t="s">
        <v>133</v>
      </c>
      <c r="D14" s="118"/>
      <c r="E14" s="119">
        <v>89.34</v>
      </c>
      <c r="F14" s="116" t="s">
        <v>134</v>
      </c>
      <c r="H14" s="116" t="s">
        <v>105</v>
      </c>
      <c r="I14" s="120" t="s">
        <v>142</v>
      </c>
    </row>
    <row r="15" spans="1:10" x14ac:dyDescent="0.3">
      <c r="B15" s="116" t="s">
        <v>17</v>
      </c>
      <c r="C15" s="117" t="s">
        <v>135</v>
      </c>
      <c r="D15" s="118"/>
      <c r="E15" s="119">
        <v>10.3</v>
      </c>
      <c r="F15" s="116" t="s">
        <v>134</v>
      </c>
      <c r="H15" s="116" t="s">
        <v>105</v>
      </c>
      <c r="I15" s="120" t="s">
        <v>142</v>
      </c>
    </row>
    <row r="16" spans="1:10" x14ac:dyDescent="0.3">
      <c r="B16" s="116" t="s">
        <v>17</v>
      </c>
      <c r="C16" s="117" t="s">
        <v>136</v>
      </c>
      <c r="D16" s="118"/>
      <c r="E16" s="119">
        <v>39.4</v>
      </c>
      <c r="F16" s="116" t="s">
        <v>134</v>
      </c>
      <c r="H16" s="116" t="s">
        <v>105</v>
      </c>
      <c r="I16" s="120" t="s">
        <v>142</v>
      </c>
    </row>
    <row r="17" spans="2:9" x14ac:dyDescent="0.3">
      <c r="B17" s="116" t="s">
        <v>17</v>
      </c>
      <c r="C17" s="117" t="s">
        <v>137</v>
      </c>
      <c r="D17" s="118"/>
      <c r="E17" s="119">
        <v>61.7</v>
      </c>
      <c r="F17" s="116" t="s">
        <v>134</v>
      </c>
      <c r="H17" s="116" t="s">
        <v>105</v>
      </c>
      <c r="I17" s="120" t="s">
        <v>142</v>
      </c>
    </row>
    <row r="18" spans="2:9" x14ac:dyDescent="0.3">
      <c r="B18" s="116" t="s">
        <v>17</v>
      </c>
      <c r="C18" s="117" t="s">
        <v>138</v>
      </c>
      <c r="D18" s="118"/>
      <c r="E18" s="119">
        <v>20.6</v>
      </c>
      <c r="F18" s="116" t="s">
        <v>134</v>
      </c>
      <c r="H18" s="116" t="s">
        <v>105</v>
      </c>
      <c r="I18" s="120" t="s">
        <v>142</v>
      </c>
    </row>
    <row r="19" spans="2:9" x14ac:dyDescent="0.3">
      <c r="B19" s="116" t="s">
        <v>17</v>
      </c>
      <c r="C19" s="117" t="s">
        <v>140</v>
      </c>
      <c r="E19" s="119">
        <v>25.8</v>
      </c>
      <c r="F19" s="116" t="s">
        <v>134</v>
      </c>
      <c r="H19" s="116" t="s">
        <v>105</v>
      </c>
      <c r="I19" s="120" t="s">
        <v>142</v>
      </c>
    </row>
    <row r="20" spans="2:9" x14ac:dyDescent="0.3">
      <c r="B20" s="116" t="s">
        <v>17</v>
      </c>
      <c r="C20" s="117" t="s">
        <v>18</v>
      </c>
      <c r="E20" s="119">
        <v>18.100000000000001</v>
      </c>
      <c r="F20" s="116" t="s">
        <v>134</v>
      </c>
      <c r="H20" s="116" t="s">
        <v>105</v>
      </c>
      <c r="I20" s="120" t="s">
        <v>142</v>
      </c>
    </row>
    <row r="21" spans="2:9" x14ac:dyDescent="0.3">
      <c r="B21" s="116" t="s">
        <v>17</v>
      </c>
      <c r="C21" s="117" t="s">
        <v>20</v>
      </c>
      <c r="E21" s="119">
        <v>18.100000000000001</v>
      </c>
      <c r="F21" s="116" t="s">
        <v>134</v>
      </c>
      <c r="H21" s="116" t="s">
        <v>105</v>
      </c>
      <c r="I21" s="120" t="s">
        <v>142</v>
      </c>
    </row>
    <row r="22" spans="2:9" x14ac:dyDescent="0.3">
      <c r="B22" s="116" t="s">
        <v>17</v>
      </c>
      <c r="C22" s="117" t="s">
        <v>19</v>
      </c>
      <c r="E22" s="119">
        <v>18.100000000000001</v>
      </c>
      <c r="F22" s="116" t="s">
        <v>134</v>
      </c>
      <c r="H22" s="116" t="s">
        <v>105</v>
      </c>
      <c r="I22" s="120" t="s">
        <v>142</v>
      </c>
    </row>
    <row r="23" spans="2:9" x14ac:dyDescent="0.3">
      <c r="B23" s="116" t="s">
        <v>17</v>
      </c>
      <c r="C23" s="117" t="s">
        <v>12</v>
      </c>
      <c r="E23" s="119">
        <v>3.7</v>
      </c>
      <c r="F23" s="116" t="s">
        <v>134</v>
      </c>
      <c r="H23" s="116" t="s">
        <v>105</v>
      </c>
      <c r="I23" s="120" t="s">
        <v>142</v>
      </c>
    </row>
    <row r="24" spans="2:9" x14ac:dyDescent="0.3">
      <c r="B24" s="116" t="s">
        <v>17</v>
      </c>
      <c r="C24" s="117" t="s">
        <v>141</v>
      </c>
      <c r="E24" s="119">
        <v>44.5</v>
      </c>
      <c r="F24" s="116" t="s">
        <v>134</v>
      </c>
      <c r="H24" s="116" t="s">
        <v>105</v>
      </c>
      <c r="I24" s="120" t="s">
        <v>142</v>
      </c>
    </row>
    <row r="25" spans="2:9" x14ac:dyDescent="0.3">
      <c r="B25" s="116" t="s">
        <v>17</v>
      </c>
      <c r="C25" s="117" t="s">
        <v>139</v>
      </c>
      <c r="E25" s="119">
        <v>13.6</v>
      </c>
      <c r="F25" s="116" t="s">
        <v>134</v>
      </c>
      <c r="H25" s="116" t="s">
        <v>105</v>
      </c>
      <c r="I25" s="120" t="s">
        <v>142</v>
      </c>
    </row>
    <row r="26" spans="2:9" x14ac:dyDescent="0.3">
      <c r="B26" s="116" t="s">
        <v>17</v>
      </c>
      <c r="C26" s="117" t="s">
        <v>145</v>
      </c>
      <c r="E26" s="119">
        <v>29.88</v>
      </c>
      <c r="F26" s="116" t="s">
        <v>134</v>
      </c>
      <c r="H26" s="116" t="s">
        <v>105</v>
      </c>
      <c r="I26" s="120" t="s">
        <v>142</v>
      </c>
    </row>
    <row r="27" spans="2:9" x14ac:dyDescent="0.3">
      <c r="B27" s="116" t="s">
        <v>17</v>
      </c>
      <c r="C27" s="117" t="s">
        <v>143</v>
      </c>
      <c r="E27" s="119">
        <v>20.61</v>
      </c>
      <c r="F27" s="116" t="s">
        <v>134</v>
      </c>
      <c r="H27" s="116" t="s">
        <v>105</v>
      </c>
      <c r="I27" s="120" t="s">
        <v>142</v>
      </c>
    </row>
    <row r="28" spans="2:9" x14ac:dyDescent="0.3">
      <c r="B28" s="116" t="s">
        <v>17</v>
      </c>
      <c r="C28" s="117" t="s">
        <v>144</v>
      </c>
      <c r="E28" s="119">
        <v>42.53</v>
      </c>
      <c r="F28" s="116" t="s">
        <v>134</v>
      </c>
      <c r="H28" s="116" t="s">
        <v>105</v>
      </c>
      <c r="I28" s="120" t="s">
        <v>142</v>
      </c>
    </row>
    <row r="29" spans="2:9" x14ac:dyDescent="0.3">
      <c r="B29" s="116" t="s">
        <v>17</v>
      </c>
      <c r="C29" s="117" t="s">
        <v>146</v>
      </c>
      <c r="E29" s="119">
        <v>45.3</v>
      </c>
      <c r="F29" s="116" t="s">
        <v>134</v>
      </c>
      <c r="H29" s="116" t="s">
        <v>105</v>
      </c>
      <c r="I29" s="120" t="s">
        <v>142</v>
      </c>
    </row>
    <row r="30" spans="2:9" x14ac:dyDescent="0.3">
      <c r="B30" s="116" t="s">
        <v>17</v>
      </c>
      <c r="C30" s="117" t="s">
        <v>147</v>
      </c>
      <c r="E30" s="119">
        <v>86.3</v>
      </c>
      <c r="F30" s="116" t="s">
        <v>134</v>
      </c>
      <c r="H30" s="116" t="s">
        <v>105</v>
      </c>
      <c r="I30" s="120" t="s">
        <v>142</v>
      </c>
    </row>
    <row r="31" spans="2:9" x14ac:dyDescent="0.3">
      <c r="B31" s="116" t="s">
        <v>17</v>
      </c>
      <c r="C31" s="117" t="s">
        <v>148</v>
      </c>
      <c r="E31" s="119">
        <v>8.5</v>
      </c>
      <c r="F31" s="116" t="s">
        <v>134</v>
      </c>
      <c r="H31" s="116" t="s">
        <v>105</v>
      </c>
      <c r="I31" s="120" t="s">
        <v>142</v>
      </c>
    </row>
    <row r="32" spans="2:9" x14ac:dyDescent="0.3">
      <c r="B32" s="116" t="s">
        <v>17</v>
      </c>
      <c r="C32" s="117" t="s">
        <v>149</v>
      </c>
      <c r="E32" s="119">
        <v>34.1</v>
      </c>
      <c r="F32" s="116" t="s">
        <v>134</v>
      </c>
      <c r="H32" s="116" t="s">
        <v>105</v>
      </c>
      <c r="I32" s="120" t="s">
        <v>142</v>
      </c>
    </row>
    <row r="33" spans="2:20" x14ac:dyDescent="0.3">
      <c r="B33" s="116" t="s">
        <v>17</v>
      </c>
      <c r="C33" s="117" t="s">
        <v>212</v>
      </c>
      <c r="E33" s="121">
        <v>1000</v>
      </c>
      <c r="F33" s="116" t="s">
        <v>211</v>
      </c>
      <c r="H33" s="116" t="s">
        <v>213</v>
      </c>
      <c r="I33" s="120"/>
    </row>
    <row r="34" spans="2:20" x14ac:dyDescent="0.3">
      <c r="B34" s="116" t="s">
        <v>17</v>
      </c>
      <c r="C34" s="117" t="s">
        <v>212</v>
      </c>
      <c r="E34" s="122">
        <v>20</v>
      </c>
      <c r="F34" s="116" t="s">
        <v>209</v>
      </c>
      <c r="T34" s="120"/>
    </row>
    <row r="35" spans="2:20" x14ac:dyDescent="0.3">
      <c r="B35" s="116" t="s">
        <v>17</v>
      </c>
      <c r="C35" s="117"/>
      <c r="E35" s="119"/>
      <c r="T35" s="120"/>
    </row>
    <row r="36" spans="2:20" x14ac:dyDescent="0.3">
      <c r="B36" s="116" t="s">
        <v>17</v>
      </c>
      <c r="C36" s="117"/>
      <c r="E36" s="119"/>
      <c r="T36" s="120"/>
    </row>
    <row r="37" spans="2:20" x14ac:dyDescent="0.3">
      <c r="B37" s="116" t="s">
        <v>17</v>
      </c>
      <c r="C37" s="117"/>
      <c r="E37" s="119"/>
      <c r="T37" s="120"/>
    </row>
    <row r="38" spans="2:20" x14ac:dyDescent="0.3">
      <c r="B38" s="116" t="s">
        <v>17</v>
      </c>
      <c r="C38" s="117"/>
      <c r="E38" s="119"/>
      <c r="T38" s="120"/>
    </row>
    <row r="39" spans="2:20" x14ac:dyDescent="0.3">
      <c r="B39" s="116" t="s">
        <v>17</v>
      </c>
      <c r="C39" s="117"/>
      <c r="E39" s="119"/>
      <c r="T39" s="120"/>
    </row>
    <row r="40" spans="2:20" x14ac:dyDescent="0.3">
      <c r="B40" s="116" t="s">
        <v>17</v>
      </c>
      <c r="C40" s="117"/>
      <c r="E40" s="119"/>
      <c r="T40" s="120"/>
    </row>
    <row r="41" spans="2:20" x14ac:dyDescent="0.3">
      <c r="B41" s="116" t="s">
        <v>17</v>
      </c>
      <c r="C41" s="117"/>
      <c r="E41" s="119"/>
      <c r="T41" s="120"/>
    </row>
    <row r="42" spans="2:20" x14ac:dyDescent="0.3">
      <c r="B42" s="116" t="s">
        <v>17</v>
      </c>
      <c r="C42" s="117"/>
      <c r="E42" s="119"/>
      <c r="T42" s="120"/>
    </row>
    <row r="44" spans="2:20" x14ac:dyDescent="0.3">
      <c r="B44" s="116" t="s">
        <v>10</v>
      </c>
      <c r="C44" s="117" t="s">
        <v>64</v>
      </c>
      <c r="E44" s="119">
        <f>1000*(520.78/1000)</f>
        <v>520.78</v>
      </c>
      <c r="F44" s="116" t="s">
        <v>287</v>
      </c>
      <c r="G44" s="123">
        <f>E44/1000</f>
        <v>0.52078000000000002</v>
      </c>
      <c r="H44" s="116" t="s">
        <v>237</v>
      </c>
      <c r="I44" s="117" t="s">
        <v>120</v>
      </c>
      <c r="J44" s="117">
        <v>6</v>
      </c>
      <c r="K44" s="124">
        <v>0.2</v>
      </c>
      <c r="L44" s="117" t="s">
        <v>122</v>
      </c>
      <c r="N44" s="116" t="s">
        <v>105</v>
      </c>
      <c r="O44" s="120" t="s">
        <v>106</v>
      </c>
    </row>
    <row r="45" spans="2:20" x14ac:dyDescent="0.3">
      <c r="B45" s="116" t="s">
        <v>10</v>
      </c>
      <c r="C45" s="117" t="s">
        <v>65</v>
      </c>
      <c r="E45" s="119">
        <f>1000*(572.3/1000)</f>
        <v>572.29999999999995</v>
      </c>
      <c r="F45" s="116" t="s">
        <v>287</v>
      </c>
      <c r="G45" s="123">
        <f t="shared" ref="G45:G75" si="0">E45/1000</f>
        <v>0.57229999999999992</v>
      </c>
      <c r="H45" s="116" t="s">
        <v>237</v>
      </c>
      <c r="I45" s="117" t="s">
        <v>120</v>
      </c>
      <c r="J45" s="117">
        <v>6</v>
      </c>
      <c r="K45" s="124">
        <v>0.2</v>
      </c>
      <c r="L45" s="117" t="s">
        <v>88</v>
      </c>
      <c r="N45" s="116" t="s">
        <v>105</v>
      </c>
      <c r="O45" s="120" t="s">
        <v>106</v>
      </c>
    </row>
    <row r="46" spans="2:20" x14ac:dyDescent="0.3">
      <c r="B46" s="116" t="s">
        <v>10</v>
      </c>
      <c r="C46" s="117" t="s">
        <v>66</v>
      </c>
      <c r="E46" s="119">
        <f>1000*(217.04/1000)</f>
        <v>217.04</v>
      </c>
      <c r="F46" s="116" t="s">
        <v>287</v>
      </c>
      <c r="G46" s="123">
        <f t="shared" si="0"/>
        <v>0.21703999999999998</v>
      </c>
      <c r="H46" s="116" t="s">
        <v>237</v>
      </c>
      <c r="I46" s="117" t="s">
        <v>120</v>
      </c>
      <c r="J46" s="117">
        <v>6</v>
      </c>
      <c r="K46" s="124">
        <v>0.5</v>
      </c>
      <c r="L46" s="117" t="s">
        <v>122</v>
      </c>
      <c r="N46" s="116" t="s">
        <v>105</v>
      </c>
      <c r="O46" s="120" t="s">
        <v>106</v>
      </c>
    </row>
    <row r="47" spans="2:20" x14ac:dyDescent="0.3">
      <c r="B47" s="116" t="s">
        <v>10</v>
      </c>
      <c r="C47" s="117" t="s">
        <v>67</v>
      </c>
      <c r="E47" s="119">
        <f>1000*(249.33/1000)</f>
        <v>249.33</v>
      </c>
      <c r="F47" s="116" t="s">
        <v>287</v>
      </c>
      <c r="G47" s="123">
        <f t="shared" si="0"/>
        <v>0.24933000000000002</v>
      </c>
      <c r="H47" s="116" t="s">
        <v>237</v>
      </c>
      <c r="I47" s="117" t="s">
        <v>120</v>
      </c>
      <c r="J47" s="117">
        <v>6</v>
      </c>
      <c r="K47" s="124">
        <v>0.5</v>
      </c>
      <c r="L47" s="117" t="s">
        <v>88</v>
      </c>
      <c r="N47" s="116" t="s">
        <v>105</v>
      </c>
      <c r="O47" s="120" t="s">
        <v>106</v>
      </c>
    </row>
    <row r="48" spans="2:20" x14ac:dyDescent="0.3">
      <c r="B48" s="116" t="s">
        <v>10</v>
      </c>
      <c r="C48" s="117" t="s">
        <v>68</v>
      </c>
      <c r="E48" s="119">
        <f>1000*(141.11/1000)</f>
        <v>141.11000000000001</v>
      </c>
      <c r="F48" s="116" t="s">
        <v>287</v>
      </c>
      <c r="G48" s="123">
        <f t="shared" si="0"/>
        <v>0.14111000000000001</v>
      </c>
      <c r="H48" s="116" t="s">
        <v>237</v>
      </c>
      <c r="I48" s="117" t="s">
        <v>120</v>
      </c>
      <c r="J48" s="117">
        <v>6</v>
      </c>
      <c r="K48" s="124">
        <v>0.8</v>
      </c>
      <c r="L48" s="117" t="s">
        <v>122</v>
      </c>
      <c r="N48" s="116" t="s">
        <v>105</v>
      </c>
      <c r="O48" s="120" t="s">
        <v>106</v>
      </c>
    </row>
    <row r="49" spans="2:15" x14ac:dyDescent="0.3">
      <c r="B49" s="116" t="s">
        <v>10</v>
      </c>
      <c r="C49" s="117" t="s">
        <v>69</v>
      </c>
      <c r="E49" s="119">
        <f>1000*(168.59/1000)</f>
        <v>168.59</v>
      </c>
      <c r="F49" s="116" t="s">
        <v>287</v>
      </c>
      <c r="G49" s="123">
        <f t="shared" si="0"/>
        <v>0.16858999999999999</v>
      </c>
      <c r="H49" s="116" t="s">
        <v>237</v>
      </c>
      <c r="I49" s="117" t="s">
        <v>120</v>
      </c>
      <c r="J49" s="117">
        <v>6</v>
      </c>
      <c r="K49" s="124">
        <v>0.8</v>
      </c>
      <c r="L49" s="117" t="s">
        <v>88</v>
      </c>
      <c r="N49" s="116" t="s">
        <v>105</v>
      </c>
      <c r="O49" s="120" t="s">
        <v>106</v>
      </c>
    </row>
    <row r="50" spans="2:15" x14ac:dyDescent="0.3">
      <c r="B50" s="116" t="s">
        <v>10</v>
      </c>
      <c r="C50" s="117" t="s">
        <v>70</v>
      </c>
      <c r="E50" s="119">
        <f>1000*(115.79/1000)</f>
        <v>115.79</v>
      </c>
      <c r="F50" s="116" t="s">
        <v>287</v>
      </c>
      <c r="G50" s="123">
        <f t="shared" si="0"/>
        <v>0.11579</v>
      </c>
      <c r="H50" s="116" t="s">
        <v>237</v>
      </c>
      <c r="I50" s="117" t="s">
        <v>120</v>
      </c>
      <c r="J50" s="117">
        <v>6</v>
      </c>
      <c r="K50" s="124">
        <v>1</v>
      </c>
      <c r="L50" s="117" t="s">
        <v>122</v>
      </c>
      <c r="N50" s="116" t="s">
        <v>105</v>
      </c>
      <c r="O50" s="120" t="s">
        <v>106</v>
      </c>
    </row>
    <row r="51" spans="2:15" x14ac:dyDescent="0.3">
      <c r="B51" s="116" t="s">
        <v>10</v>
      </c>
      <c r="C51" s="117" t="s">
        <v>71</v>
      </c>
      <c r="E51" s="119">
        <f>1000*(141.6/1000)</f>
        <v>141.6</v>
      </c>
      <c r="F51" s="116" t="s">
        <v>287</v>
      </c>
      <c r="G51" s="123">
        <f t="shared" si="0"/>
        <v>0.1416</v>
      </c>
      <c r="H51" s="116" t="s">
        <v>237</v>
      </c>
      <c r="I51" s="117" t="s">
        <v>120</v>
      </c>
      <c r="J51" s="117">
        <v>6</v>
      </c>
      <c r="K51" s="124">
        <v>1</v>
      </c>
      <c r="L51" s="117" t="s">
        <v>88</v>
      </c>
      <c r="N51" s="116" t="s">
        <v>105</v>
      </c>
      <c r="O51" s="120" t="s">
        <v>106</v>
      </c>
    </row>
    <row r="52" spans="2:15" x14ac:dyDescent="0.3">
      <c r="B52" s="116" t="s">
        <v>10</v>
      </c>
      <c r="C52" s="117" t="s">
        <v>72</v>
      </c>
      <c r="E52" s="119">
        <f>1000*(277.45/1000)</f>
        <v>277.45</v>
      </c>
      <c r="F52" s="116" t="s">
        <v>287</v>
      </c>
      <c r="G52" s="123">
        <f t="shared" si="0"/>
        <v>0.27744999999999997</v>
      </c>
      <c r="H52" s="116" t="s">
        <v>237</v>
      </c>
      <c r="I52" s="117" t="s">
        <v>120</v>
      </c>
      <c r="J52" s="117">
        <v>15</v>
      </c>
      <c r="K52" s="124">
        <v>0.2</v>
      </c>
      <c r="L52" s="117" t="s">
        <v>122</v>
      </c>
      <c r="N52" s="116" t="s">
        <v>105</v>
      </c>
      <c r="O52" s="120" t="s">
        <v>106</v>
      </c>
    </row>
    <row r="53" spans="2:15" x14ac:dyDescent="0.3">
      <c r="B53" s="116" t="s">
        <v>10</v>
      </c>
      <c r="C53" s="117" t="s">
        <v>73</v>
      </c>
      <c r="E53" s="119">
        <f>1000*(361.85/1000)</f>
        <v>361.85</v>
      </c>
      <c r="F53" s="116" t="s">
        <v>287</v>
      </c>
      <c r="G53" s="123">
        <f t="shared" si="0"/>
        <v>0.36185</v>
      </c>
      <c r="H53" s="116" t="s">
        <v>237</v>
      </c>
      <c r="I53" s="117" t="s">
        <v>120</v>
      </c>
      <c r="J53" s="117">
        <v>15</v>
      </c>
      <c r="K53" s="124">
        <v>0.2</v>
      </c>
      <c r="L53" s="117" t="s">
        <v>88</v>
      </c>
      <c r="N53" s="116" t="s">
        <v>105</v>
      </c>
      <c r="O53" s="120" t="s">
        <v>106</v>
      </c>
    </row>
    <row r="54" spans="2:15" x14ac:dyDescent="0.3">
      <c r="B54" s="116" t="s">
        <v>10</v>
      </c>
      <c r="C54" s="117" t="s">
        <v>74</v>
      </c>
      <c r="E54" s="119">
        <f>1000*(117.12/1000)</f>
        <v>117.12</v>
      </c>
      <c r="F54" s="116" t="s">
        <v>287</v>
      </c>
      <c r="G54" s="123">
        <f t="shared" si="0"/>
        <v>0.11712</v>
      </c>
      <c r="H54" s="116" t="s">
        <v>237</v>
      </c>
      <c r="I54" s="117" t="s">
        <v>120</v>
      </c>
      <c r="J54" s="117">
        <v>15</v>
      </c>
      <c r="K54" s="124">
        <v>0.5</v>
      </c>
      <c r="L54" s="117" t="s">
        <v>122</v>
      </c>
      <c r="N54" s="116" t="s">
        <v>105</v>
      </c>
      <c r="O54" s="120" t="s">
        <v>106</v>
      </c>
    </row>
    <row r="55" spans="2:15" x14ac:dyDescent="0.3">
      <c r="B55" s="116" t="s">
        <v>10</v>
      </c>
      <c r="C55" s="117" t="s">
        <v>75</v>
      </c>
      <c r="E55" s="119">
        <f>1000*(162.95/1000)</f>
        <v>162.94999999999999</v>
      </c>
      <c r="F55" s="116" t="s">
        <v>287</v>
      </c>
      <c r="G55" s="123">
        <f t="shared" si="0"/>
        <v>0.16294999999999998</v>
      </c>
      <c r="H55" s="116" t="s">
        <v>237</v>
      </c>
      <c r="I55" s="117" t="s">
        <v>120</v>
      </c>
      <c r="J55" s="117">
        <v>15</v>
      </c>
      <c r="K55" s="124">
        <v>0.5</v>
      </c>
      <c r="L55" s="117" t="s">
        <v>88</v>
      </c>
      <c r="N55" s="116" t="s">
        <v>105</v>
      </c>
      <c r="O55" s="120" t="s">
        <v>106</v>
      </c>
    </row>
    <row r="56" spans="2:15" x14ac:dyDescent="0.3">
      <c r="B56" s="116" t="s">
        <v>10</v>
      </c>
      <c r="C56" s="117" t="s">
        <v>76</v>
      </c>
      <c r="E56" s="119">
        <f>1000*(77.03/1000)</f>
        <v>77.03</v>
      </c>
      <c r="F56" s="116" t="s">
        <v>287</v>
      </c>
      <c r="G56" s="123">
        <f t="shared" si="0"/>
        <v>7.7030000000000001E-2</v>
      </c>
      <c r="H56" s="116" t="s">
        <v>237</v>
      </c>
      <c r="I56" s="117" t="s">
        <v>120</v>
      </c>
      <c r="J56" s="117">
        <v>15</v>
      </c>
      <c r="K56" s="124">
        <v>0.8</v>
      </c>
      <c r="L56" s="117" t="s">
        <v>122</v>
      </c>
      <c r="N56" s="116" t="s">
        <v>105</v>
      </c>
      <c r="O56" s="120" t="s">
        <v>106</v>
      </c>
    </row>
    <row r="57" spans="2:15" x14ac:dyDescent="0.3">
      <c r="B57" s="116" t="s">
        <v>10</v>
      </c>
      <c r="C57" s="117" t="s">
        <v>77</v>
      </c>
      <c r="E57" s="119">
        <f>1000*(113.22/1000)</f>
        <v>113.22</v>
      </c>
      <c r="F57" s="116" t="s">
        <v>287</v>
      </c>
      <c r="G57" s="123">
        <f t="shared" si="0"/>
        <v>0.11322</v>
      </c>
      <c r="H57" s="116" t="s">
        <v>237</v>
      </c>
      <c r="I57" s="117" t="s">
        <v>120</v>
      </c>
      <c r="J57" s="117">
        <v>15</v>
      </c>
      <c r="K57" s="124">
        <v>0.8</v>
      </c>
      <c r="L57" s="117" t="s">
        <v>88</v>
      </c>
      <c r="N57" s="116" t="s">
        <v>105</v>
      </c>
      <c r="O57" s="120" t="s">
        <v>106</v>
      </c>
    </row>
    <row r="58" spans="2:15" x14ac:dyDescent="0.3">
      <c r="B58" s="116" t="s">
        <v>10</v>
      </c>
      <c r="C58" s="117" t="s">
        <v>78</v>
      </c>
      <c r="E58" s="119">
        <f>1000*(63.67/1000)</f>
        <v>63.67</v>
      </c>
      <c r="F58" s="116" t="s">
        <v>287</v>
      </c>
      <c r="G58" s="123">
        <f t="shared" si="0"/>
        <v>6.3670000000000004E-2</v>
      </c>
      <c r="H58" s="116" t="s">
        <v>237</v>
      </c>
      <c r="I58" s="117" t="s">
        <v>120</v>
      </c>
      <c r="J58" s="117">
        <v>15</v>
      </c>
      <c r="K58" s="124">
        <v>1</v>
      </c>
      <c r="L58" s="117" t="s">
        <v>122</v>
      </c>
      <c r="N58" s="116" t="s">
        <v>105</v>
      </c>
      <c r="O58" s="120" t="s">
        <v>106</v>
      </c>
    </row>
    <row r="59" spans="2:15" x14ac:dyDescent="0.3">
      <c r="B59" s="116" t="s">
        <v>10</v>
      </c>
      <c r="C59" s="117" t="s">
        <v>79</v>
      </c>
      <c r="E59" s="119">
        <f>1000*(95.65/1000)</f>
        <v>95.65</v>
      </c>
      <c r="F59" s="116" t="s">
        <v>287</v>
      </c>
      <c r="G59" s="123">
        <f t="shared" si="0"/>
        <v>9.5649999999999999E-2</v>
      </c>
      <c r="H59" s="116" t="s">
        <v>237</v>
      </c>
      <c r="I59" s="117" t="s">
        <v>120</v>
      </c>
      <c r="J59" s="117">
        <v>15</v>
      </c>
      <c r="K59" s="124">
        <v>1</v>
      </c>
      <c r="L59" s="117" t="s">
        <v>88</v>
      </c>
      <c r="N59" s="116" t="s">
        <v>105</v>
      </c>
      <c r="O59" s="120" t="s">
        <v>106</v>
      </c>
    </row>
    <row r="60" spans="2:15" x14ac:dyDescent="0.3">
      <c r="B60" s="116" t="s">
        <v>10</v>
      </c>
      <c r="C60" s="117" t="s">
        <v>80</v>
      </c>
      <c r="E60" s="117">
        <v>203.08</v>
      </c>
      <c r="F60" s="116" t="s">
        <v>287</v>
      </c>
      <c r="G60" s="123">
        <f t="shared" si="0"/>
        <v>0.20308000000000001</v>
      </c>
      <c r="H60" s="116" t="s">
        <v>237</v>
      </c>
      <c r="I60" s="117" t="s">
        <v>121</v>
      </c>
      <c r="J60" s="117">
        <v>32</v>
      </c>
      <c r="K60" s="124">
        <v>0.2</v>
      </c>
      <c r="L60" s="117" t="s">
        <v>122</v>
      </c>
      <c r="N60" s="116" t="s">
        <v>105</v>
      </c>
      <c r="O60" s="120" t="s">
        <v>106</v>
      </c>
    </row>
    <row r="61" spans="2:15" x14ac:dyDescent="0.3">
      <c r="B61" s="116" t="s">
        <v>10</v>
      </c>
      <c r="C61" s="117" t="s">
        <v>81</v>
      </c>
      <c r="E61" s="117">
        <v>321.47000000000003</v>
      </c>
      <c r="F61" s="116" t="s">
        <v>287</v>
      </c>
      <c r="G61" s="123">
        <f t="shared" si="0"/>
        <v>0.32147000000000003</v>
      </c>
      <c r="H61" s="116" t="s">
        <v>237</v>
      </c>
      <c r="I61" s="117" t="s">
        <v>121</v>
      </c>
      <c r="J61" s="117">
        <v>32</v>
      </c>
      <c r="K61" s="124">
        <v>0.2</v>
      </c>
      <c r="L61" s="117" t="s">
        <v>88</v>
      </c>
      <c r="N61" s="116" t="s">
        <v>105</v>
      </c>
      <c r="O61" s="120" t="s">
        <v>106</v>
      </c>
    </row>
    <row r="62" spans="2:15" x14ac:dyDescent="0.3">
      <c r="B62" s="116" t="s">
        <v>10</v>
      </c>
      <c r="C62" s="117" t="s">
        <v>82</v>
      </c>
      <c r="E62" s="117">
        <v>89.49</v>
      </c>
      <c r="F62" s="116" t="s">
        <v>287</v>
      </c>
      <c r="G62" s="123">
        <f t="shared" si="0"/>
        <v>8.949E-2</v>
      </c>
      <c r="H62" s="116" t="s">
        <v>237</v>
      </c>
      <c r="I62" s="117" t="s">
        <v>121</v>
      </c>
      <c r="J62" s="117">
        <v>32</v>
      </c>
      <c r="K62" s="124">
        <v>0.5</v>
      </c>
      <c r="L62" s="117" t="s">
        <v>122</v>
      </c>
      <c r="N62" s="116" t="s">
        <v>105</v>
      </c>
      <c r="O62" s="120" t="s">
        <v>106</v>
      </c>
    </row>
    <row r="63" spans="2:15" x14ac:dyDescent="0.3">
      <c r="B63" s="116" t="s">
        <v>10</v>
      </c>
      <c r="C63" s="117" t="s">
        <v>83</v>
      </c>
      <c r="E63" s="117">
        <v>150.80000000000001</v>
      </c>
      <c r="F63" s="116" t="s">
        <v>287</v>
      </c>
      <c r="G63" s="123">
        <f t="shared" si="0"/>
        <v>0.15080000000000002</v>
      </c>
      <c r="H63" s="116" t="s">
        <v>237</v>
      </c>
      <c r="I63" s="117" t="s">
        <v>121</v>
      </c>
      <c r="J63" s="117">
        <v>32</v>
      </c>
      <c r="K63" s="124">
        <v>0.5</v>
      </c>
      <c r="L63" s="117" t="s">
        <v>88</v>
      </c>
      <c r="N63" s="116" t="s">
        <v>105</v>
      </c>
      <c r="O63" s="120" t="s">
        <v>106</v>
      </c>
    </row>
    <row r="64" spans="2:15" x14ac:dyDescent="0.3">
      <c r="B64" s="116" t="s">
        <v>10</v>
      </c>
      <c r="C64" s="117" t="s">
        <v>84</v>
      </c>
      <c r="E64" s="117">
        <v>61.09</v>
      </c>
      <c r="F64" s="116" t="s">
        <v>287</v>
      </c>
      <c r="G64" s="123">
        <f t="shared" si="0"/>
        <v>6.1090000000000005E-2</v>
      </c>
      <c r="H64" s="116" t="s">
        <v>237</v>
      </c>
      <c r="I64" s="117" t="s">
        <v>121</v>
      </c>
      <c r="J64" s="117">
        <v>32</v>
      </c>
      <c r="K64" s="124">
        <v>0.8</v>
      </c>
      <c r="L64" s="117" t="s">
        <v>122</v>
      </c>
      <c r="N64" s="116" t="s">
        <v>105</v>
      </c>
      <c r="O64" s="120" t="s">
        <v>106</v>
      </c>
    </row>
    <row r="65" spans="2:15" x14ac:dyDescent="0.3">
      <c r="B65" s="116" t="s">
        <v>10</v>
      </c>
      <c r="C65" s="117" t="s">
        <v>85</v>
      </c>
      <c r="E65" s="117">
        <v>108.14</v>
      </c>
      <c r="F65" s="116" t="s">
        <v>287</v>
      </c>
      <c r="G65" s="123">
        <f t="shared" si="0"/>
        <v>0.10814</v>
      </c>
      <c r="H65" s="116" t="s">
        <v>237</v>
      </c>
      <c r="I65" s="117" t="s">
        <v>121</v>
      </c>
      <c r="J65" s="117">
        <v>32</v>
      </c>
      <c r="K65" s="124">
        <v>0.8</v>
      </c>
      <c r="L65" s="117" t="s">
        <v>88</v>
      </c>
      <c r="N65" s="116" t="s">
        <v>105</v>
      </c>
      <c r="O65" s="120" t="s">
        <v>106</v>
      </c>
    </row>
    <row r="66" spans="2:15" x14ac:dyDescent="0.3">
      <c r="B66" s="116" t="s">
        <v>10</v>
      </c>
      <c r="C66" s="117" t="s">
        <v>86</v>
      </c>
      <c r="E66" s="117">
        <v>51.63</v>
      </c>
      <c r="F66" s="116" t="s">
        <v>287</v>
      </c>
      <c r="G66" s="123">
        <f t="shared" si="0"/>
        <v>5.1630000000000002E-2</v>
      </c>
      <c r="H66" s="116" t="s">
        <v>237</v>
      </c>
      <c r="I66" s="117" t="s">
        <v>121</v>
      </c>
      <c r="J66" s="117">
        <v>32</v>
      </c>
      <c r="K66" s="124">
        <v>1</v>
      </c>
      <c r="L66" s="117" t="s">
        <v>122</v>
      </c>
      <c r="N66" s="116" t="s">
        <v>105</v>
      </c>
      <c r="O66" s="120" t="s">
        <v>106</v>
      </c>
    </row>
    <row r="67" spans="2:15" x14ac:dyDescent="0.3">
      <c r="B67" s="116" t="s">
        <v>10</v>
      </c>
      <c r="C67" s="117" t="s">
        <v>87</v>
      </c>
      <c r="E67" s="117">
        <v>93.91</v>
      </c>
      <c r="F67" s="116" t="s">
        <v>287</v>
      </c>
      <c r="G67" s="123">
        <f t="shared" si="0"/>
        <v>9.3909999999999993E-2</v>
      </c>
      <c r="H67" s="116" t="s">
        <v>237</v>
      </c>
      <c r="I67" s="117" t="s">
        <v>121</v>
      </c>
      <c r="J67" s="117">
        <v>32</v>
      </c>
      <c r="K67" s="124">
        <v>1</v>
      </c>
      <c r="L67" s="117" t="s">
        <v>88</v>
      </c>
      <c r="N67" s="116" t="s">
        <v>105</v>
      </c>
      <c r="O67" s="120" t="s">
        <v>106</v>
      </c>
    </row>
    <row r="68" spans="2:15" x14ac:dyDescent="0.3">
      <c r="B68" s="116" t="s">
        <v>10</v>
      </c>
      <c r="C68" s="117" t="s">
        <v>89</v>
      </c>
      <c r="E68" s="117">
        <v>179.58</v>
      </c>
      <c r="F68" s="116" t="s">
        <v>287</v>
      </c>
      <c r="G68" s="123">
        <f t="shared" si="0"/>
        <v>0.17958000000000002</v>
      </c>
      <c r="H68" s="116" t="s">
        <v>237</v>
      </c>
      <c r="I68" s="117" t="s">
        <v>178</v>
      </c>
      <c r="J68" s="117">
        <v>40</v>
      </c>
      <c r="K68" s="124">
        <v>0.2</v>
      </c>
      <c r="L68" s="117" t="s">
        <v>122</v>
      </c>
      <c r="N68" s="116" t="s">
        <v>105</v>
      </c>
      <c r="O68" s="120" t="s">
        <v>106</v>
      </c>
    </row>
    <row r="69" spans="2:15" x14ac:dyDescent="0.3">
      <c r="B69" s="116" t="s">
        <v>10</v>
      </c>
      <c r="C69" s="117" t="s">
        <v>90</v>
      </c>
      <c r="E69" s="117">
        <v>284.83999999999997</v>
      </c>
      <c r="F69" s="116" t="s">
        <v>287</v>
      </c>
      <c r="G69" s="123">
        <f t="shared" si="0"/>
        <v>0.28483999999999998</v>
      </c>
      <c r="H69" s="116" t="s">
        <v>237</v>
      </c>
      <c r="I69" s="117" t="s">
        <v>178</v>
      </c>
      <c r="J69" s="117">
        <v>40</v>
      </c>
      <c r="K69" s="124">
        <v>0.2</v>
      </c>
      <c r="L69" s="117" t="s">
        <v>88</v>
      </c>
      <c r="N69" s="116" t="s">
        <v>105</v>
      </c>
      <c r="O69" s="120" t="s">
        <v>106</v>
      </c>
    </row>
    <row r="70" spans="2:15" x14ac:dyDescent="0.3">
      <c r="B70" s="116" t="s">
        <v>10</v>
      </c>
      <c r="C70" s="117" t="s">
        <v>91</v>
      </c>
      <c r="E70" s="117">
        <v>82.09</v>
      </c>
      <c r="F70" s="116" t="s">
        <v>287</v>
      </c>
      <c r="G70" s="123">
        <f t="shared" si="0"/>
        <v>8.209000000000001E-2</v>
      </c>
      <c r="H70" s="116" t="s">
        <v>237</v>
      </c>
      <c r="I70" s="117" t="s">
        <v>178</v>
      </c>
      <c r="J70" s="117">
        <v>40</v>
      </c>
      <c r="K70" s="124">
        <v>0.5</v>
      </c>
      <c r="L70" s="117" t="s">
        <v>122</v>
      </c>
      <c r="N70" s="116" t="s">
        <v>105</v>
      </c>
      <c r="O70" s="120" t="s">
        <v>106</v>
      </c>
    </row>
    <row r="71" spans="2:15" x14ac:dyDescent="0.3">
      <c r="B71" s="116" t="s">
        <v>10</v>
      </c>
      <c r="C71" s="117" t="s">
        <v>92</v>
      </c>
      <c r="E71" s="117">
        <v>135.49</v>
      </c>
      <c r="F71" s="116" t="s">
        <v>287</v>
      </c>
      <c r="G71" s="123">
        <f t="shared" si="0"/>
        <v>0.13549</v>
      </c>
      <c r="H71" s="116" t="s">
        <v>237</v>
      </c>
      <c r="I71" s="117" t="s">
        <v>178</v>
      </c>
      <c r="J71" s="117">
        <v>40</v>
      </c>
      <c r="K71" s="124">
        <v>0.5</v>
      </c>
      <c r="L71" s="117" t="s">
        <v>88</v>
      </c>
      <c r="N71" s="116" t="s">
        <v>105</v>
      </c>
      <c r="O71" s="120" t="s">
        <v>106</v>
      </c>
    </row>
    <row r="72" spans="2:15" x14ac:dyDescent="0.3">
      <c r="B72" s="116" t="s">
        <v>10</v>
      </c>
      <c r="C72" s="117" t="s">
        <v>93</v>
      </c>
      <c r="E72" s="117">
        <v>57.71</v>
      </c>
      <c r="F72" s="116" t="s">
        <v>287</v>
      </c>
      <c r="G72" s="123">
        <f t="shared" si="0"/>
        <v>5.7709999999999997E-2</v>
      </c>
      <c r="H72" s="116" t="s">
        <v>237</v>
      </c>
      <c r="I72" s="117" t="s">
        <v>178</v>
      </c>
      <c r="J72" s="117">
        <v>40</v>
      </c>
      <c r="K72" s="124">
        <v>0.8</v>
      </c>
      <c r="L72" s="117" t="s">
        <v>122</v>
      </c>
      <c r="N72" s="116" t="s">
        <v>105</v>
      </c>
      <c r="O72" s="120" t="s">
        <v>106</v>
      </c>
    </row>
    <row r="73" spans="2:15" x14ac:dyDescent="0.3">
      <c r="B73" s="116" t="s">
        <v>10</v>
      </c>
      <c r="C73" s="117" t="s">
        <v>94</v>
      </c>
      <c r="E73" s="117">
        <v>98.16</v>
      </c>
      <c r="F73" s="116" t="s">
        <v>287</v>
      </c>
      <c r="G73" s="123">
        <f t="shared" si="0"/>
        <v>9.8159999999999997E-2</v>
      </c>
      <c r="H73" s="116" t="s">
        <v>237</v>
      </c>
      <c r="I73" s="117" t="s">
        <v>178</v>
      </c>
      <c r="J73" s="117">
        <v>40</v>
      </c>
      <c r="K73" s="124">
        <v>0.8</v>
      </c>
      <c r="L73" s="117" t="s">
        <v>88</v>
      </c>
      <c r="N73" s="116" t="s">
        <v>105</v>
      </c>
      <c r="O73" s="120" t="s">
        <v>106</v>
      </c>
    </row>
    <row r="74" spans="2:15" x14ac:dyDescent="0.3">
      <c r="B74" s="116" t="s">
        <v>10</v>
      </c>
      <c r="C74" s="117" t="s">
        <v>95</v>
      </c>
      <c r="E74" s="117">
        <v>49.95</v>
      </c>
      <c r="F74" s="116" t="s">
        <v>287</v>
      </c>
      <c r="G74" s="123">
        <f t="shared" si="0"/>
        <v>4.9950000000000001E-2</v>
      </c>
      <c r="H74" s="116" t="s">
        <v>237</v>
      </c>
      <c r="I74" s="117" t="s">
        <v>178</v>
      </c>
      <c r="J74" s="117">
        <v>40</v>
      </c>
      <c r="K74" s="124">
        <v>1</v>
      </c>
      <c r="L74" s="117" t="s">
        <v>122</v>
      </c>
      <c r="N74" s="116" t="s">
        <v>105</v>
      </c>
      <c r="O74" s="120" t="s">
        <v>106</v>
      </c>
    </row>
    <row r="75" spans="2:15" x14ac:dyDescent="0.3">
      <c r="B75" s="116" t="s">
        <v>10</v>
      </c>
      <c r="C75" s="117" t="s">
        <v>96</v>
      </c>
      <c r="E75" s="117">
        <v>85.71</v>
      </c>
      <c r="F75" s="116" t="s">
        <v>287</v>
      </c>
      <c r="G75" s="123">
        <f t="shared" si="0"/>
        <v>8.5709999999999995E-2</v>
      </c>
      <c r="H75" s="116" t="s">
        <v>237</v>
      </c>
      <c r="I75" s="117" t="s">
        <v>178</v>
      </c>
      <c r="J75" s="117">
        <v>40</v>
      </c>
      <c r="K75" s="124">
        <v>1</v>
      </c>
      <c r="L75" s="117" t="s">
        <v>88</v>
      </c>
      <c r="N75" s="116" t="s">
        <v>105</v>
      </c>
      <c r="O75" s="120" t="s">
        <v>106</v>
      </c>
    </row>
    <row r="76" spans="2:15" x14ac:dyDescent="0.3">
      <c r="B76" s="116" t="s">
        <v>10</v>
      </c>
      <c r="C76" s="117" t="s">
        <v>97</v>
      </c>
      <c r="E76" s="117">
        <v>141.52000000000001</v>
      </c>
      <c r="F76" s="116" t="s">
        <v>287</v>
      </c>
      <c r="G76" s="123">
        <f t="shared" ref="G76:G83" si="1">E76/1000</f>
        <v>0.14152000000000001</v>
      </c>
      <c r="H76" s="116" t="s">
        <v>237</v>
      </c>
      <c r="I76" s="117" t="s">
        <v>179</v>
      </c>
      <c r="J76" s="117">
        <v>60</v>
      </c>
      <c r="K76" s="124">
        <v>0.2</v>
      </c>
      <c r="L76" s="117" t="s">
        <v>122</v>
      </c>
      <c r="N76" s="116" t="s">
        <v>105</v>
      </c>
      <c r="O76" s="120" t="s">
        <v>106</v>
      </c>
    </row>
    <row r="77" spans="2:15" x14ac:dyDescent="0.3">
      <c r="B77" s="116" t="s">
        <v>10</v>
      </c>
      <c r="C77" s="117" t="s">
        <v>98</v>
      </c>
      <c r="E77" s="117">
        <v>229.92</v>
      </c>
      <c r="F77" s="116" t="s">
        <v>287</v>
      </c>
      <c r="G77" s="123">
        <f t="shared" si="1"/>
        <v>0.22991999999999999</v>
      </c>
      <c r="H77" s="116" t="s">
        <v>237</v>
      </c>
      <c r="I77" s="117" t="s">
        <v>179</v>
      </c>
      <c r="J77" s="117">
        <v>60</v>
      </c>
      <c r="K77" s="124">
        <v>0.2</v>
      </c>
      <c r="L77" s="117" t="s">
        <v>88</v>
      </c>
      <c r="N77" s="116" t="s">
        <v>105</v>
      </c>
      <c r="O77" s="120" t="s">
        <v>106</v>
      </c>
    </row>
    <row r="78" spans="2:15" x14ac:dyDescent="0.3">
      <c r="B78" s="116" t="s">
        <v>10</v>
      </c>
      <c r="C78" s="117" t="s">
        <v>99</v>
      </c>
      <c r="E78" s="117">
        <v>64.52</v>
      </c>
      <c r="F78" s="116" t="s">
        <v>287</v>
      </c>
      <c r="G78" s="123">
        <f t="shared" si="1"/>
        <v>6.4519999999999994E-2</v>
      </c>
      <c r="H78" s="116" t="s">
        <v>237</v>
      </c>
      <c r="I78" s="117" t="s">
        <v>179</v>
      </c>
      <c r="J78" s="117">
        <v>60</v>
      </c>
      <c r="K78" s="124">
        <v>0.5</v>
      </c>
      <c r="L78" s="117" t="s">
        <v>122</v>
      </c>
      <c r="N78" s="116" t="s">
        <v>105</v>
      </c>
      <c r="O78" s="120" t="s">
        <v>106</v>
      </c>
    </row>
    <row r="79" spans="2:15" x14ac:dyDescent="0.3">
      <c r="B79" s="116" t="s">
        <v>10</v>
      </c>
      <c r="C79" s="117" t="s">
        <v>100</v>
      </c>
      <c r="E79" s="117">
        <v>110.62</v>
      </c>
      <c r="F79" s="116" t="s">
        <v>287</v>
      </c>
      <c r="G79" s="123">
        <f t="shared" si="1"/>
        <v>0.11062000000000001</v>
      </c>
      <c r="H79" s="116" t="s">
        <v>237</v>
      </c>
      <c r="I79" s="117" t="s">
        <v>179</v>
      </c>
      <c r="J79" s="117">
        <v>60</v>
      </c>
      <c r="K79" s="124">
        <v>0.5</v>
      </c>
      <c r="L79" s="117" t="s">
        <v>88</v>
      </c>
      <c r="N79" s="116" t="s">
        <v>105</v>
      </c>
      <c r="O79" s="120" t="s">
        <v>106</v>
      </c>
    </row>
    <row r="80" spans="2:15" x14ac:dyDescent="0.3">
      <c r="B80" s="116" t="s">
        <v>10</v>
      </c>
      <c r="C80" s="117" t="s">
        <v>101</v>
      </c>
      <c r="E80" s="117">
        <v>45.27</v>
      </c>
      <c r="F80" s="116" t="s">
        <v>287</v>
      </c>
      <c r="G80" s="123">
        <f t="shared" si="1"/>
        <v>4.5270000000000005E-2</v>
      </c>
      <c r="H80" s="116" t="s">
        <v>237</v>
      </c>
      <c r="I80" s="117" t="s">
        <v>179</v>
      </c>
      <c r="J80" s="117">
        <v>60</v>
      </c>
      <c r="K80" s="124">
        <v>0.8</v>
      </c>
      <c r="L80" s="117" t="s">
        <v>122</v>
      </c>
      <c r="N80" s="116" t="s">
        <v>105</v>
      </c>
      <c r="O80" s="120" t="s">
        <v>106</v>
      </c>
    </row>
    <row r="81" spans="2:15" x14ac:dyDescent="0.3">
      <c r="B81" s="116" t="s">
        <v>10</v>
      </c>
      <c r="C81" s="117" t="s">
        <v>102</v>
      </c>
      <c r="E81" s="117">
        <v>80.790000000000006</v>
      </c>
      <c r="F81" s="116" t="s">
        <v>287</v>
      </c>
      <c r="G81" s="123">
        <f t="shared" si="1"/>
        <v>8.0790000000000001E-2</v>
      </c>
      <c r="H81" s="116" t="s">
        <v>237</v>
      </c>
      <c r="I81" s="117" t="s">
        <v>179</v>
      </c>
      <c r="J81" s="117">
        <v>60</v>
      </c>
      <c r="K81" s="124">
        <v>0.8</v>
      </c>
      <c r="L81" s="117" t="s">
        <v>88</v>
      </c>
      <c r="N81" s="116" t="s">
        <v>105</v>
      </c>
      <c r="O81" s="120" t="s">
        <v>106</v>
      </c>
    </row>
    <row r="82" spans="2:15" x14ac:dyDescent="0.3">
      <c r="B82" s="116" t="s">
        <v>10</v>
      </c>
      <c r="C82" s="117" t="s">
        <v>103</v>
      </c>
      <c r="E82" s="117">
        <v>38.85</v>
      </c>
      <c r="F82" s="116" t="s">
        <v>287</v>
      </c>
      <c r="G82" s="123">
        <f t="shared" si="1"/>
        <v>3.8850000000000003E-2</v>
      </c>
      <c r="H82" s="116" t="s">
        <v>237</v>
      </c>
      <c r="I82" s="117" t="s">
        <v>179</v>
      </c>
      <c r="J82" s="117">
        <v>60</v>
      </c>
      <c r="K82" s="124">
        <v>1</v>
      </c>
      <c r="L82" s="117" t="s">
        <v>122</v>
      </c>
      <c r="N82" s="116" t="s">
        <v>105</v>
      </c>
      <c r="O82" s="120" t="s">
        <v>106</v>
      </c>
    </row>
    <row r="83" spans="2:15" x14ac:dyDescent="0.3">
      <c r="B83" s="116" t="s">
        <v>10</v>
      </c>
      <c r="C83" s="117" t="s">
        <v>104</v>
      </c>
      <c r="E83" s="117">
        <v>70.849999999999994</v>
      </c>
      <c r="F83" s="116" t="s">
        <v>287</v>
      </c>
      <c r="G83" s="123">
        <f t="shared" si="1"/>
        <v>7.0849999999999996E-2</v>
      </c>
      <c r="H83" s="116" t="s">
        <v>237</v>
      </c>
      <c r="I83" s="117" t="s">
        <v>179</v>
      </c>
      <c r="J83" s="117">
        <v>60</v>
      </c>
      <c r="K83" s="124">
        <v>1</v>
      </c>
      <c r="L83" s="117" t="s">
        <v>88</v>
      </c>
      <c r="N83" s="116" t="s">
        <v>105</v>
      </c>
      <c r="O83" s="120" t="s">
        <v>106</v>
      </c>
    </row>
    <row r="84" spans="2:15" x14ac:dyDescent="0.3">
      <c r="K84" s="125"/>
    </row>
    <row r="85" spans="2:15" x14ac:dyDescent="0.3">
      <c r="B85" s="116" t="s">
        <v>107</v>
      </c>
      <c r="C85" s="117" t="s">
        <v>108</v>
      </c>
      <c r="E85" s="119">
        <v>354.36</v>
      </c>
      <c r="F85" s="116" t="s">
        <v>236</v>
      </c>
      <c r="G85" s="123">
        <f t="shared" ref="G85:G94" si="2">E85/1000</f>
        <v>0.35436000000000001</v>
      </c>
      <c r="H85" s="116" t="s">
        <v>237</v>
      </c>
      <c r="I85" s="117" t="s">
        <v>120</v>
      </c>
      <c r="J85" s="117">
        <v>6</v>
      </c>
      <c r="K85" s="124">
        <v>0</v>
      </c>
      <c r="L85" s="117" t="s">
        <v>122</v>
      </c>
      <c r="N85" s="116" t="s">
        <v>105</v>
      </c>
      <c r="O85" s="120" t="s">
        <v>106</v>
      </c>
    </row>
    <row r="86" spans="2:15" x14ac:dyDescent="0.3">
      <c r="B86" s="116" t="s">
        <v>107</v>
      </c>
      <c r="C86" s="117" t="s">
        <v>112</v>
      </c>
      <c r="E86" s="119">
        <v>376.8</v>
      </c>
      <c r="F86" s="116" t="s">
        <v>236</v>
      </c>
      <c r="G86" s="123">
        <f t="shared" si="2"/>
        <v>0.37680000000000002</v>
      </c>
      <c r="H86" s="116" t="s">
        <v>237</v>
      </c>
      <c r="I86" s="117" t="s">
        <v>120</v>
      </c>
      <c r="J86" s="117">
        <v>6</v>
      </c>
      <c r="K86" s="124">
        <v>0</v>
      </c>
      <c r="L86" s="117" t="s">
        <v>88</v>
      </c>
      <c r="N86" s="116" t="s">
        <v>105</v>
      </c>
      <c r="O86" s="120" t="s">
        <v>106</v>
      </c>
    </row>
    <row r="87" spans="2:15" x14ac:dyDescent="0.3">
      <c r="B87" s="116" t="s">
        <v>107</v>
      </c>
      <c r="C87" s="117" t="s">
        <v>113</v>
      </c>
      <c r="E87" s="119">
        <v>480.99</v>
      </c>
      <c r="F87" s="116" t="s">
        <v>236</v>
      </c>
      <c r="G87" s="123">
        <f t="shared" si="2"/>
        <v>0.48099000000000003</v>
      </c>
      <c r="H87" s="116" t="s">
        <v>237</v>
      </c>
      <c r="I87" s="117" t="s">
        <v>120</v>
      </c>
      <c r="J87" s="117">
        <v>15</v>
      </c>
      <c r="K87" s="124">
        <v>0</v>
      </c>
      <c r="L87" s="117" t="s">
        <v>122</v>
      </c>
      <c r="N87" s="116" t="s">
        <v>105</v>
      </c>
      <c r="O87" s="120" t="s">
        <v>106</v>
      </c>
    </row>
    <row r="88" spans="2:15" x14ac:dyDescent="0.3">
      <c r="B88" s="116" t="s">
        <v>107</v>
      </c>
      <c r="C88" s="117" t="s">
        <v>123</v>
      </c>
      <c r="E88" s="119">
        <v>596.71</v>
      </c>
      <c r="F88" s="116" t="s">
        <v>236</v>
      </c>
      <c r="G88" s="123">
        <f t="shared" si="2"/>
        <v>0.59671000000000007</v>
      </c>
      <c r="H88" s="116" t="s">
        <v>237</v>
      </c>
      <c r="I88" s="117" t="s">
        <v>120</v>
      </c>
      <c r="J88" s="117">
        <v>15</v>
      </c>
      <c r="K88" s="124">
        <v>0</v>
      </c>
      <c r="L88" s="117" t="s">
        <v>88</v>
      </c>
      <c r="N88" s="116" t="s">
        <v>105</v>
      </c>
      <c r="O88" s="120" t="s">
        <v>106</v>
      </c>
    </row>
    <row r="89" spans="2:15" x14ac:dyDescent="0.3">
      <c r="B89" s="116" t="s">
        <v>107</v>
      </c>
      <c r="C89" s="117" t="s">
        <v>114</v>
      </c>
      <c r="E89" s="119">
        <v>719.41</v>
      </c>
      <c r="F89" s="116" t="s">
        <v>236</v>
      </c>
      <c r="G89" s="123">
        <f t="shared" si="2"/>
        <v>0.71940999999999999</v>
      </c>
      <c r="H89" s="116" t="s">
        <v>237</v>
      </c>
      <c r="I89" s="117" t="s">
        <v>121</v>
      </c>
      <c r="J89" s="117">
        <v>32</v>
      </c>
      <c r="K89" s="124">
        <v>0</v>
      </c>
      <c r="L89" s="117" t="s">
        <v>122</v>
      </c>
      <c r="N89" s="116" t="s">
        <v>105</v>
      </c>
      <c r="O89" s="120" t="s">
        <v>106</v>
      </c>
    </row>
    <row r="90" spans="2:15" x14ac:dyDescent="0.3">
      <c r="B90" s="116" t="s">
        <v>107</v>
      </c>
      <c r="C90" s="117" t="s">
        <v>115</v>
      </c>
      <c r="E90" s="119">
        <v>1088.8800000000001</v>
      </c>
      <c r="F90" s="116" t="s">
        <v>236</v>
      </c>
      <c r="G90" s="123">
        <f t="shared" si="2"/>
        <v>1.0888800000000001</v>
      </c>
      <c r="H90" s="116" t="s">
        <v>237</v>
      </c>
      <c r="I90" s="117" t="s">
        <v>121</v>
      </c>
      <c r="J90" s="117">
        <v>32</v>
      </c>
      <c r="K90" s="124">
        <v>0</v>
      </c>
      <c r="L90" s="117" t="s">
        <v>88</v>
      </c>
      <c r="N90" s="116" t="s">
        <v>105</v>
      </c>
      <c r="O90" s="120" t="s">
        <v>106</v>
      </c>
    </row>
    <row r="91" spans="2:15" x14ac:dyDescent="0.3">
      <c r="B91" s="116" t="s">
        <v>107</v>
      </c>
      <c r="C91" s="117" t="s">
        <v>116</v>
      </c>
      <c r="E91" s="119">
        <v>812.48</v>
      </c>
      <c r="F91" s="116" t="s">
        <v>236</v>
      </c>
      <c r="G91" s="123">
        <f t="shared" si="2"/>
        <v>0.81247999999999998</v>
      </c>
      <c r="H91" s="116" t="s">
        <v>237</v>
      </c>
      <c r="I91" s="117" t="s">
        <v>178</v>
      </c>
      <c r="J91" s="117">
        <v>40</v>
      </c>
      <c r="K91" s="124">
        <v>0</v>
      </c>
      <c r="L91" s="117" t="s">
        <v>122</v>
      </c>
      <c r="N91" s="116" t="s">
        <v>105</v>
      </c>
      <c r="O91" s="120" t="s">
        <v>106</v>
      </c>
    </row>
    <row r="92" spans="2:15" x14ac:dyDescent="0.3">
      <c r="B92" s="116" t="s">
        <v>107</v>
      </c>
      <c r="C92" s="117" t="s">
        <v>117</v>
      </c>
      <c r="E92" s="119">
        <v>1244.53</v>
      </c>
      <c r="F92" s="116" t="s">
        <v>236</v>
      </c>
      <c r="G92" s="123">
        <f t="shared" si="2"/>
        <v>1.2445299999999999</v>
      </c>
      <c r="H92" s="116" t="s">
        <v>237</v>
      </c>
      <c r="I92" s="117" t="s">
        <v>178</v>
      </c>
      <c r="J92" s="117">
        <v>40</v>
      </c>
      <c r="K92" s="124">
        <v>0</v>
      </c>
      <c r="L92" s="117" t="s">
        <v>88</v>
      </c>
      <c r="N92" s="116" t="s">
        <v>105</v>
      </c>
      <c r="O92" s="120" t="s">
        <v>106</v>
      </c>
    </row>
    <row r="93" spans="2:15" x14ac:dyDescent="0.3">
      <c r="B93" s="116" t="s">
        <v>107</v>
      </c>
      <c r="C93" s="117" t="s">
        <v>118</v>
      </c>
      <c r="E93" s="119">
        <v>1026.7</v>
      </c>
      <c r="F93" s="116" t="s">
        <v>236</v>
      </c>
      <c r="G93" s="123">
        <f t="shared" si="2"/>
        <v>1.0266999999999999</v>
      </c>
      <c r="H93" s="116" t="s">
        <v>237</v>
      </c>
      <c r="I93" s="117" t="s">
        <v>179</v>
      </c>
      <c r="J93" s="117">
        <v>60</v>
      </c>
      <c r="K93" s="124">
        <v>0</v>
      </c>
      <c r="L93" s="117" t="s">
        <v>122</v>
      </c>
      <c r="N93" s="116" t="s">
        <v>105</v>
      </c>
      <c r="O93" s="120" t="s">
        <v>106</v>
      </c>
    </row>
    <row r="94" spans="2:15" x14ac:dyDescent="0.3">
      <c r="B94" s="116" t="s">
        <v>107</v>
      </c>
      <c r="C94" s="117" t="s">
        <v>119</v>
      </c>
      <c r="E94" s="119">
        <v>1590.7</v>
      </c>
      <c r="F94" s="116" t="s">
        <v>236</v>
      </c>
      <c r="G94" s="123">
        <f t="shared" si="2"/>
        <v>1.5907</v>
      </c>
      <c r="H94" s="116" t="s">
        <v>237</v>
      </c>
      <c r="I94" s="117" t="s">
        <v>179</v>
      </c>
      <c r="J94" s="117">
        <v>60</v>
      </c>
      <c r="K94" s="124">
        <v>0</v>
      </c>
      <c r="L94" s="117" t="s">
        <v>88</v>
      </c>
      <c r="N94" s="116" t="s">
        <v>105</v>
      </c>
      <c r="O94" s="120" t="s">
        <v>106</v>
      </c>
    </row>
    <row r="95" spans="2:15" x14ac:dyDescent="0.3">
      <c r="E95" s="126"/>
      <c r="G95" s="127"/>
      <c r="M95" s="128"/>
    </row>
    <row r="96" spans="2:15" x14ac:dyDescent="0.3">
      <c r="B96" s="116" t="s">
        <v>173</v>
      </c>
      <c r="C96" s="117" t="s">
        <v>84</v>
      </c>
      <c r="E96" s="117">
        <v>57.71</v>
      </c>
      <c r="F96" s="116" t="s">
        <v>236</v>
      </c>
      <c r="G96" s="123">
        <f t="shared" ref="G96:G97" si="3">E96/1000</f>
        <v>5.7709999999999997E-2</v>
      </c>
      <c r="H96" s="116" t="s">
        <v>237</v>
      </c>
      <c r="I96" s="117" t="s">
        <v>121</v>
      </c>
      <c r="J96" s="117">
        <v>32</v>
      </c>
      <c r="K96" s="124">
        <v>0.8</v>
      </c>
      <c r="L96" s="117" t="s">
        <v>122</v>
      </c>
      <c r="M96" s="128"/>
      <c r="N96" s="116" t="s">
        <v>105</v>
      </c>
      <c r="O96" s="120" t="s">
        <v>106</v>
      </c>
    </row>
    <row r="97" spans="2:18" x14ac:dyDescent="0.3">
      <c r="B97" s="116" t="s">
        <v>173</v>
      </c>
      <c r="C97" s="117" t="s">
        <v>114</v>
      </c>
      <c r="E97" s="119">
        <v>719.41</v>
      </c>
      <c r="F97" s="116" t="s">
        <v>236</v>
      </c>
      <c r="G97" s="123">
        <f t="shared" si="3"/>
        <v>0.71940999999999999</v>
      </c>
      <c r="H97" s="116" t="s">
        <v>237</v>
      </c>
      <c r="I97" s="117" t="s">
        <v>121</v>
      </c>
      <c r="J97" s="117">
        <v>32</v>
      </c>
      <c r="K97" s="124">
        <v>0</v>
      </c>
      <c r="L97" s="117" t="s">
        <v>122</v>
      </c>
      <c r="N97" s="116" t="s">
        <v>105</v>
      </c>
      <c r="O97" s="120" t="s">
        <v>106</v>
      </c>
    </row>
    <row r="98" spans="2:18" x14ac:dyDescent="0.3">
      <c r="B98" s="116" t="s">
        <v>173</v>
      </c>
      <c r="C98" s="117" t="s">
        <v>244</v>
      </c>
      <c r="E98" s="129">
        <v>5.5</v>
      </c>
      <c r="F98" s="116" t="s">
        <v>238</v>
      </c>
      <c r="N98" s="116" t="s">
        <v>239</v>
      </c>
      <c r="Q98" s="120" t="s">
        <v>240</v>
      </c>
    </row>
    <row r="99" spans="2:18" x14ac:dyDescent="0.3">
      <c r="B99" s="116" t="s">
        <v>173</v>
      </c>
      <c r="C99" s="117" t="s">
        <v>245</v>
      </c>
      <c r="E99" s="129">
        <v>7.1</v>
      </c>
      <c r="F99" s="116" t="s">
        <v>238</v>
      </c>
      <c r="N99" s="116" t="s">
        <v>239</v>
      </c>
      <c r="Q99" s="120" t="s">
        <v>240</v>
      </c>
    </row>
    <row r="100" spans="2:18" x14ac:dyDescent="0.3">
      <c r="B100" s="116" t="s">
        <v>173</v>
      </c>
      <c r="C100" s="117" t="s">
        <v>248</v>
      </c>
      <c r="E100" s="129">
        <v>5.5</v>
      </c>
      <c r="F100" s="116" t="s">
        <v>249</v>
      </c>
      <c r="N100" s="116" t="s">
        <v>239</v>
      </c>
      <c r="Q100" s="120" t="s">
        <v>240</v>
      </c>
    </row>
    <row r="101" spans="2:18" ht="31" x14ac:dyDescent="0.3">
      <c r="B101" s="116" t="s">
        <v>173</v>
      </c>
      <c r="C101" s="117" t="s">
        <v>250</v>
      </c>
      <c r="E101" s="129">
        <f>G101*(100%-O101)+I101*O101</f>
        <v>3.4999999999999996</v>
      </c>
      <c r="F101" s="116" t="s">
        <v>238</v>
      </c>
      <c r="G101" s="117">
        <v>3.5</v>
      </c>
      <c r="H101" s="130" t="s">
        <v>251</v>
      </c>
      <c r="I101" s="117">
        <v>3.5</v>
      </c>
      <c r="J101" s="130" t="s">
        <v>252</v>
      </c>
      <c r="O101" s="124">
        <v>0.05</v>
      </c>
      <c r="P101" s="130" t="s">
        <v>623</v>
      </c>
      <c r="Q101" s="116" t="s">
        <v>239</v>
      </c>
      <c r="R101" s="120" t="s">
        <v>240</v>
      </c>
    </row>
    <row r="102" spans="2:18" ht="46.5" x14ac:dyDescent="0.3">
      <c r="B102" s="116" t="s">
        <v>173</v>
      </c>
      <c r="C102" s="117" t="s">
        <v>253</v>
      </c>
      <c r="E102" s="129">
        <f>G102*(100%-O102)+I102*O102</f>
        <v>5.4799999999999995</v>
      </c>
      <c r="F102" s="116" t="s">
        <v>238</v>
      </c>
      <c r="G102" s="117">
        <v>5.5</v>
      </c>
      <c r="H102" s="130" t="s">
        <v>251</v>
      </c>
      <c r="I102" s="117">
        <v>4.5</v>
      </c>
      <c r="J102" s="130" t="s">
        <v>252</v>
      </c>
      <c r="K102" s="117">
        <v>7.5</v>
      </c>
      <c r="L102" s="130" t="s">
        <v>254</v>
      </c>
      <c r="M102" s="117">
        <v>6.5</v>
      </c>
      <c r="N102" s="130" t="s">
        <v>255</v>
      </c>
      <c r="O102" s="124">
        <v>0.02</v>
      </c>
      <c r="P102" s="130" t="s">
        <v>623</v>
      </c>
      <c r="Q102" s="116" t="s">
        <v>239</v>
      </c>
      <c r="R102" s="120" t="s">
        <v>240</v>
      </c>
    </row>
    <row r="103" spans="2:18" x14ac:dyDescent="0.3">
      <c r="B103" s="116" t="s">
        <v>173</v>
      </c>
      <c r="C103" s="117" t="s">
        <v>246</v>
      </c>
      <c r="E103" s="129">
        <v>17</v>
      </c>
      <c r="F103" s="116" t="s">
        <v>247</v>
      </c>
    </row>
    <row r="105" spans="2:18" x14ac:dyDescent="0.3">
      <c r="B105" s="116" t="s">
        <v>283</v>
      </c>
      <c r="C105" s="117" t="str">
        <f>C74</f>
        <v>Puoliperävaunuyhdistelmä, 40 t, 100 % kuorma, maantieajo</v>
      </c>
      <c r="E105" s="117">
        <f>E74</f>
        <v>49.95</v>
      </c>
      <c r="F105" s="116" t="s">
        <v>287</v>
      </c>
      <c r="G105" s="123">
        <f t="shared" ref="G105:H106" si="4">G74</f>
        <v>4.9950000000000001E-2</v>
      </c>
      <c r="H105" s="116" t="str">
        <f t="shared" si="4"/>
        <v>kgCO2e/tkm</v>
      </c>
      <c r="Q105" s="116" t="s">
        <v>105</v>
      </c>
    </row>
    <row r="106" spans="2:18" x14ac:dyDescent="0.3">
      <c r="B106" s="116" t="s">
        <v>289</v>
      </c>
      <c r="C106" s="117" t="s">
        <v>290</v>
      </c>
      <c r="G106" s="116">
        <v>2.3E-2</v>
      </c>
      <c r="H106" s="116" t="str">
        <f t="shared" si="4"/>
        <v>kgCO2e/tkm</v>
      </c>
      <c r="Q106" s="116" t="s">
        <v>105</v>
      </c>
    </row>
    <row r="107" spans="2:18" x14ac:dyDescent="0.3">
      <c r="B107" s="116" t="s">
        <v>284</v>
      </c>
      <c r="C107" s="117" t="s">
        <v>288</v>
      </c>
      <c r="G107" s="117">
        <v>4.4999999999999998E-2</v>
      </c>
      <c r="H107" s="116" t="str">
        <f>H75</f>
        <v>kgCO2e/tkm</v>
      </c>
      <c r="Q107" s="116" t="s">
        <v>105</v>
      </c>
    </row>
    <row r="108" spans="2:18" x14ac:dyDescent="0.3">
      <c r="B108" s="116" t="s">
        <v>285</v>
      </c>
      <c r="C108" s="117" t="s">
        <v>376</v>
      </c>
      <c r="G108" s="123">
        <v>0.83243999999999996</v>
      </c>
      <c r="H108" s="116" t="str">
        <f>H76</f>
        <v>kgCO2e/tkm</v>
      </c>
      <c r="Q108" s="116" t="s">
        <v>291</v>
      </c>
      <c r="R108" s="116" t="s">
        <v>292</v>
      </c>
    </row>
  </sheetData>
  <phoneticPr fontId="1" type="noConversion"/>
  <pageMargins left="0.70866141732283472" right="0.70866141732283472" top="0.74803149606299213" bottom="0.74803149606299213" header="0.31496062992125984" footer="0.31496062992125984"/>
  <pageSetup paperSize="8" scale="60" orientation="landscape" verticalDpi="0" r:id="rId1"/>
  <headerFooter>
    <oddHeader>&amp;L&amp;"-,Lihavoitu"&amp;12PIIP-laskentatyökalu&amp;RKertoimet: Kalusto
Sivu &amp;P/&amp;N</oddHeader>
    <oddFooter>&amp;L&amp;G&amp;R&amp;G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7B4A3-5BA4-4760-926A-2E1FEC4DD43F}">
  <sheetPr codeName="Sheet12">
    <tabColor theme="8" tint="0.79998168889431442"/>
  </sheetPr>
  <dimension ref="B1:XFD41"/>
  <sheetViews>
    <sheetView zoomScaleNormal="10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ColWidth="8.75" defaultRowHeight="13.9" customHeight="1" x14ac:dyDescent="0.3"/>
  <cols>
    <col min="1" max="1" width="2.75" style="16" customWidth="1"/>
    <col min="2" max="2" width="8.75" style="16"/>
    <col min="3" max="3" width="12.58203125" style="16" bestFit="1" customWidth="1"/>
    <col min="4" max="4" width="23" style="16" bestFit="1" customWidth="1"/>
    <col min="5" max="5" width="11.25" style="16" bestFit="1" customWidth="1"/>
    <col min="6" max="7" width="8.75" style="16"/>
    <col min="8" max="8" width="10.75" style="16" customWidth="1"/>
    <col min="9" max="9" width="15.75" style="14" customWidth="1"/>
    <col min="10" max="10" width="10.75" style="17" customWidth="1"/>
    <col min="11" max="11" width="20.75" style="19" customWidth="1"/>
    <col min="12" max="12" width="10.75" style="17" customWidth="1"/>
    <col min="13" max="13" width="20.75" style="19" customWidth="1"/>
    <col min="14" max="14" width="10.75" style="17" customWidth="1"/>
    <col min="15" max="15" width="20.75" style="19" customWidth="1"/>
    <col min="16" max="16" width="10.75" style="17" customWidth="1"/>
    <col min="17" max="17" width="20.75" style="19" customWidth="1"/>
    <col min="18" max="18" width="10.75" style="17" customWidth="1"/>
    <col min="19" max="19" width="20.75" style="19" customWidth="1"/>
    <col min="20" max="20" width="10.75" style="17" customWidth="1"/>
    <col min="21" max="21" width="20.75" style="19" customWidth="1"/>
    <col min="22" max="22" width="10.75" style="17" customWidth="1"/>
    <col min="23" max="23" width="20.75" style="19" customWidth="1"/>
    <col min="24" max="25" width="10.75" style="17" customWidth="1"/>
    <col min="26" max="26" width="10.75" style="14" customWidth="1"/>
    <col min="27" max="29" width="10.75" style="17" customWidth="1"/>
    <col min="30" max="31" width="10.75" style="16" customWidth="1"/>
    <col min="32" max="16384" width="8.75" style="16"/>
  </cols>
  <sheetData>
    <row r="1" spans="2:16384" s="31" customFormat="1" ht="15.5" x14ac:dyDescent="0.3">
      <c r="C1" s="34"/>
      <c r="D1" s="84"/>
      <c r="G1" s="34"/>
      <c r="H1" s="84"/>
      <c r="J1" s="33"/>
      <c r="K1" s="34"/>
      <c r="L1" s="3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c r="IW1" s="84"/>
      <c r="IX1" s="84"/>
      <c r="IY1" s="84"/>
      <c r="IZ1" s="84"/>
      <c r="JA1" s="84"/>
      <c r="JB1" s="84"/>
      <c r="JC1" s="84"/>
      <c r="JD1" s="84"/>
      <c r="JE1" s="84"/>
      <c r="JF1" s="84"/>
      <c r="JG1" s="84"/>
      <c r="JH1" s="84"/>
      <c r="JI1" s="84"/>
      <c r="JJ1" s="84"/>
      <c r="JK1" s="84"/>
      <c r="JL1" s="84"/>
      <c r="JM1" s="84"/>
      <c r="JN1" s="84"/>
      <c r="JO1" s="84"/>
      <c r="JP1" s="84"/>
      <c r="JQ1" s="84"/>
      <c r="JR1" s="84"/>
      <c r="JS1" s="84"/>
      <c r="JT1" s="84"/>
      <c r="JU1" s="84"/>
      <c r="JV1" s="84"/>
      <c r="JW1" s="84"/>
      <c r="JX1" s="84"/>
      <c r="JY1" s="84"/>
      <c r="JZ1" s="84"/>
      <c r="KA1" s="84"/>
      <c r="KB1" s="84"/>
      <c r="KC1" s="84"/>
      <c r="KD1" s="84"/>
      <c r="KE1" s="84"/>
      <c r="KF1" s="84"/>
      <c r="KG1" s="84"/>
      <c r="KH1" s="84"/>
      <c r="KI1" s="84"/>
      <c r="KJ1" s="84"/>
      <c r="KK1" s="84"/>
      <c r="KL1" s="84"/>
      <c r="KM1" s="84"/>
      <c r="KN1" s="84"/>
      <c r="KO1" s="84"/>
      <c r="KP1" s="84"/>
      <c r="KQ1" s="84"/>
      <c r="KR1" s="84"/>
      <c r="KS1" s="84"/>
      <c r="KT1" s="84"/>
      <c r="KU1" s="84"/>
      <c r="KV1" s="84"/>
      <c r="KW1" s="84"/>
      <c r="KX1" s="84"/>
      <c r="KY1" s="84"/>
      <c r="KZ1" s="84"/>
      <c r="LA1" s="84"/>
      <c r="LB1" s="84"/>
      <c r="LC1" s="84"/>
      <c r="LD1" s="84"/>
      <c r="LE1" s="84"/>
      <c r="LF1" s="84"/>
      <c r="LG1" s="84"/>
      <c r="LH1" s="84"/>
      <c r="LI1" s="84"/>
      <c r="LJ1" s="84"/>
      <c r="LK1" s="84"/>
      <c r="LL1" s="84"/>
      <c r="LM1" s="84"/>
      <c r="LN1" s="84"/>
      <c r="LO1" s="84"/>
      <c r="LP1" s="84"/>
      <c r="LQ1" s="84"/>
      <c r="LR1" s="84"/>
      <c r="LS1" s="84"/>
      <c r="LT1" s="84"/>
      <c r="LU1" s="84"/>
      <c r="LV1" s="84"/>
      <c r="LW1" s="84"/>
      <c r="LX1" s="84"/>
      <c r="LY1" s="84"/>
      <c r="LZ1" s="84"/>
      <c r="MA1" s="84"/>
      <c r="MB1" s="84"/>
      <c r="MC1" s="84"/>
      <c r="MD1" s="84"/>
      <c r="ME1" s="84"/>
      <c r="MF1" s="84"/>
      <c r="MG1" s="84"/>
      <c r="MH1" s="84"/>
      <c r="MI1" s="84"/>
      <c r="MJ1" s="84"/>
      <c r="MK1" s="84"/>
      <c r="ML1" s="84"/>
      <c r="MM1" s="84"/>
      <c r="MN1" s="84"/>
      <c r="MO1" s="84"/>
      <c r="MP1" s="84"/>
      <c r="MQ1" s="84"/>
      <c r="MR1" s="84"/>
      <c r="MS1" s="84"/>
      <c r="MT1" s="84"/>
      <c r="MU1" s="84"/>
      <c r="MV1" s="84"/>
      <c r="MW1" s="84"/>
      <c r="MX1" s="84"/>
      <c r="MY1" s="84"/>
      <c r="MZ1" s="84"/>
      <c r="NA1" s="84"/>
      <c r="NB1" s="84"/>
      <c r="NC1" s="84"/>
      <c r="ND1" s="84"/>
      <c r="NE1" s="84"/>
      <c r="NF1" s="84"/>
      <c r="NG1" s="84"/>
      <c r="NH1" s="84"/>
      <c r="NI1" s="84"/>
      <c r="NJ1" s="84"/>
      <c r="NK1" s="84"/>
      <c r="NL1" s="84"/>
      <c r="NM1" s="84"/>
      <c r="NN1" s="84"/>
      <c r="NO1" s="84"/>
      <c r="NP1" s="84"/>
      <c r="NQ1" s="84"/>
      <c r="NR1" s="84"/>
      <c r="NS1" s="84"/>
      <c r="NT1" s="84"/>
      <c r="NU1" s="84"/>
      <c r="NV1" s="84"/>
      <c r="NW1" s="84"/>
      <c r="NX1" s="84"/>
      <c r="NY1" s="84"/>
      <c r="NZ1" s="84"/>
      <c r="OA1" s="84"/>
      <c r="OB1" s="84"/>
      <c r="OC1" s="84"/>
      <c r="OD1" s="84"/>
      <c r="OE1" s="84"/>
      <c r="OF1" s="84"/>
      <c r="OG1" s="84"/>
      <c r="OH1" s="84"/>
      <c r="OI1" s="84"/>
      <c r="OJ1" s="84"/>
      <c r="OK1" s="84"/>
      <c r="OL1" s="84"/>
      <c r="OM1" s="84"/>
      <c r="ON1" s="84"/>
      <c r="OO1" s="84"/>
      <c r="OP1" s="84"/>
      <c r="OQ1" s="84"/>
      <c r="OR1" s="84"/>
      <c r="OS1" s="84"/>
      <c r="OT1" s="84"/>
      <c r="OU1" s="84"/>
      <c r="OV1" s="84"/>
      <c r="OW1" s="84"/>
      <c r="OX1" s="84"/>
      <c r="OY1" s="84"/>
      <c r="OZ1" s="84"/>
      <c r="PA1" s="84"/>
      <c r="PB1" s="84"/>
      <c r="PC1" s="84"/>
      <c r="PD1" s="84"/>
      <c r="PE1" s="84"/>
      <c r="PF1" s="84"/>
      <c r="PG1" s="84"/>
      <c r="PH1" s="84"/>
      <c r="PI1" s="84"/>
      <c r="PJ1" s="84"/>
      <c r="PK1" s="84"/>
      <c r="PL1" s="84"/>
      <c r="PM1" s="84"/>
      <c r="PN1" s="84"/>
      <c r="PO1" s="84"/>
      <c r="PP1" s="84"/>
      <c r="PQ1" s="84"/>
      <c r="PR1" s="84"/>
      <c r="PS1" s="84"/>
      <c r="PT1" s="84"/>
      <c r="PU1" s="84"/>
      <c r="PV1" s="84"/>
      <c r="PW1" s="84"/>
      <c r="PX1" s="84"/>
      <c r="PY1" s="84"/>
      <c r="PZ1" s="84"/>
      <c r="QA1" s="84"/>
      <c r="QB1" s="84"/>
      <c r="QC1" s="84"/>
      <c r="QD1" s="84"/>
      <c r="QE1" s="84"/>
      <c r="QF1" s="84"/>
      <c r="QG1" s="84"/>
      <c r="QH1" s="84"/>
      <c r="QI1" s="84"/>
      <c r="QJ1" s="84"/>
      <c r="QK1" s="84"/>
      <c r="QL1" s="84"/>
      <c r="QM1" s="84"/>
      <c r="QN1" s="84"/>
      <c r="QO1" s="84"/>
      <c r="QP1" s="84"/>
      <c r="QQ1" s="84"/>
      <c r="QR1" s="84"/>
      <c r="QS1" s="84"/>
      <c r="QT1" s="84"/>
      <c r="QU1" s="84"/>
      <c r="QV1" s="84"/>
      <c r="QW1" s="84"/>
      <c r="QX1" s="84"/>
      <c r="QY1" s="84"/>
      <c r="QZ1" s="84"/>
      <c r="RA1" s="84"/>
      <c r="RB1" s="84"/>
      <c r="RC1" s="84"/>
      <c r="RD1" s="84"/>
      <c r="RE1" s="84"/>
      <c r="RF1" s="84"/>
      <c r="RG1" s="84"/>
      <c r="RH1" s="84"/>
      <c r="RI1" s="84"/>
      <c r="RJ1" s="84"/>
      <c r="RK1" s="84"/>
      <c r="RL1" s="84"/>
      <c r="RM1" s="84"/>
      <c r="RN1" s="84"/>
      <c r="RO1" s="84"/>
      <c r="RP1" s="84"/>
      <c r="RQ1" s="84"/>
      <c r="RR1" s="84"/>
      <c r="RS1" s="84"/>
      <c r="RT1" s="84"/>
      <c r="RU1" s="84"/>
      <c r="RV1" s="84"/>
      <c r="RW1" s="84"/>
      <c r="RX1" s="84"/>
      <c r="RY1" s="84"/>
      <c r="RZ1" s="84"/>
      <c r="SA1" s="84"/>
      <c r="SB1" s="84"/>
      <c r="SC1" s="84"/>
      <c r="SD1" s="84"/>
      <c r="SE1" s="84"/>
      <c r="SF1" s="84"/>
      <c r="SG1" s="84"/>
      <c r="SH1" s="84"/>
      <c r="SI1" s="84"/>
      <c r="SJ1" s="84"/>
      <c r="SK1" s="84"/>
      <c r="SL1" s="84"/>
      <c r="SM1" s="84"/>
      <c r="SN1" s="84"/>
      <c r="SO1" s="84"/>
      <c r="SP1" s="84"/>
      <c r="SQ1" s="84"/>
      <c r="SR1" s="84"/>
      <c r="SS1" s="84"/>
      <c r="ST1" s="84"/>
      <c r="SU1" s="84"/>
      <c r="SV1" s="84"/>
      <c r="SW1" s="84"/>
      <c r="SX1" s="84"/>
      <c r="SY1" s="84"/>
      <c r="SZ1" s="84"/>
      <c r="TA1" s="84"/>
      <c r="TB1" s="84"/>
      <c r="TC1" s="84"/>
      <c r="TD1" s="84"/>
      <c r="TE1" s="84"/>
      <c r="TF1" s="84"/>
      <c r="TG1" s="84"/>
      <c r="TH1" s="84"/>
      <c r="TI1" s="84"/>
      <c r="TJ1" s="84"/>
      <c r="TK1" s="84"/>
      <c r="TL1" s="84"/>
      <c r="TM1" s="84"/>
      <c r="TN1" s="84"/>
      <c r="TO1" s="84"/>
      <c r="TP1" s="84"/>
      <c r="TQ1" s="84"/>
      <c r="TR1" s="84"/>
      <c r="TS1" s="84"/>
      <c r="TT1" s="84"/>
      <c r="TU1" s="84"/>
      <c r="TV1" s="84"/>
      <c r="TW1" s="84"/>
      <c r="TX1" s="84"/>
      <c r="TY1" s="84"/>
      <c r="TZ1" s="84"/>
      <c r="UA1" s="84"/>
      <c r="UB1" s="84"/>
      <c r="UC1" s="84"/>
      <c r="UD1" s="84"/>
      <c r="UE1" s="84"/>
      <c r="UF1" s="84"/>
      <c r="UG1" s="84"/>
      <c r="UH1" s="84"/>
      <c r="UI1" s="84"/>
      <c r="UJ1" s="84"/>
      <c r="UK1" s="84"/>
      <c r="UL1" s="84"/>
      <c r="UM1" s="84"/>
      <c r="UN1" s="84"/>
      <c r="UO1" s="84"/>
      <c r="UP1" s="84"/>
      <c r="UQ1" s="84"/>
      <c r="UR1" s="84"/>
      <c r="US1" s="84"/>
      <c r="UT1" s="84"/>
      <c r="UU1" s="84"/>
      <c r="UV1" s="84"/>
      <c r="UW1" s="84"/>
      <c r="UX1" s="84"/>
      <c r="UY1" s="84"/>
      <c r="UZ1" s="84"/>
      <c r="VA1" s="84"/>
      <c r="VB1" s="84"/>
      <c r="VC1" s="84"/>
      <c r="VD1" s="84"/>
      <c r="VE1" s="84"/>
      <c r="VF1" s="84"/>
      <c r="VG1" s="84"/>
      <c r="VH1" s="84"/>
      <c r="VI1" s="84"/>
      <c r="VJ1" s="84"/>
      <c r="VK1" s="84"/>
      <c r="VL1" s="84"/>
      <c r="VM1" s="84"/>
      <c r="VN1" s="84"/>
      <c r="VO1" s="84"/>
      <c r="VP1" s="84"/>
      <c r="VQ1" s="84"/>
      <c r="VR1" s="84"/>
      <c r="VS1" s="84"/>
      <c r="VT1" s="84"/>
      <c r="VU1" s="84"/>
      <c r="VV1" s="84"/>
      <c r="VW1" s="84"/>
      <c r="VX1" s="84"/>
      <c r="VY1" s="84"/>
      <c r="VZ1" s="84"/>
      <c r="WA1" s="84"/>
      <c r="WB1" s="84"/>
      <c r="WC1" s="84"/>
      <c r="WD1" s="84"/>
      <c r="WE1" s="84"/>
      <c r="WF1" s="84"/>
      <c r="WG1" s="84"/>
      <c r="WH1" s="84"/>
      <c r="WI1" s="84"/>
      <c r="WJ1" s="84"/>
      <c r="WK1" s="84"/>
      <c r="WL1" s="84"/>
      <c r="WM1" s="84"/>
      <c r="WN1" s="84"/>
      <c r="WO1" s="84"/>
      <c r="WP1" s="84"/>
      <c r="WQ1" s="84"/>
      <c r="WR1" s="84"/>
      <c r="WS1" s="84"/>
      <c r="WT1" s="84"/>
      <c r="WU1" s="84"/>
      <c r="WV1" s="84"/>
      <c r="WW1" s="84"/>
      <c r="WX1" s="84"/>
      <c r="WY1" s="84"/>
      <c r="WZ1" s="84"/>
      <c r="XA1" s="84"/>
      <c r="XB1" s="84"/>
      <c r="XC1" s="84"/>
      <c r="XD1" s="84"/>
      <c r="XE1" s="84"/>
      <c r="XF1" s="84"/>
      <c r="XG1" s="84"/>
      <c r="XH1" s="84"/>
      <c r="XI1" s="84"/>
      <c r="XJ1" s="84"/>
      <c r="XK1" s="84"/>
      <c r="XL1" s="84"/>
      <c r="XM1" s="84"/>
      <c r="XN1" s="84"/>
      <c r="XO1" s="84"/>
      <c r="XP1" s="84"/>
      <c r="XQ1" s="84"/>
      <c r="XR1" s="84"/>
      <c r="XS1" s="84"/>
      <c r="XT1" s="84"/>
      <c r="XU1" s="84"/>
      <c r="XV1" s="84"/>
      <c r="XW1" s="84"/>
      <c r="XX1" s="84"/>
      <c r="XY1" s="84"/>
      <c r="XZ1" s="84"/>
      <c r="YA1" s="84"/>
      <c r="YB1" s="84"/>
      <c r="YC1" s="84"/>
      <c r="YD1" s="84"/>
      <c r="YE1" s="84"/>
      <c r="YF1" s="84"/>
      <c r="YG1" s="84"/>
      <c r="YH1" s="84"/>
      <c r="YI1" s="84"/>
      <c r="YJ1" s="84"/>
      <c r="YK1" s="84"/>
      <c r="YL1" s="84"/>
      <c r="YM1" s="84"/>
      <c r="YN1" s="84"/>
      <c r="YO1" s="84"/>
      <c r="YP1" s="84"/>
      <c r="YQ1" s="84"/>
      <c r="YR1" s="84"/>
      <c r="YS1" s="84"/>
      <c r="YT1" s="84"/>
      <c r="YU1" s="84"/>
      <c r="YV1" s="84"/>
      <c r="YW1" s="84"/>
      <c r="YX1" s="84"/>
      <c r="YY1" s="84"/>
      <c r="YZ1" s="84"/>
      <c r="ZA1" s="84"/>
      <c r="ZB1" s="84"/>
      <c r="ZC1" s="84"/>
      <c r="ZD1" s="84"/>
      <c r="ZE1" s="84"/>
      <c r="ZF1" s="84"/>
      <c r="ZG1" s="84"/>
      <c r="ZH1" s="84"/>
      <c r="ZI1" s="84"/>
      <c r="ZJ1" s="84"/>
      <c r="ZK1" s="84"/>
      <c r="ZL1" s="84"/>
      <c r="ZM1" s="84"/>
      <c r="ZN1" s="84"/>
      <c r="ZO1" s="84"/>
      <c r="ZP1" s="84"/>
      <c r="ZQ1" s="84"/>
      <c r="ZR1" s="84"/>
      <c r="ZS1" s="84"/>
      <c r="ZT1" s="84"/>
      <c r="ZU1" s="84"/>
      <c r="ZV1" s="84"/>
      <c r="ZW1" s="84"/>
      <c r="ZX1" s="84"/>
      <c r="ZY1" s="84"/>
      <c r="ZZ1" s="84"/>
      <c r="AAA1" s="84"/>
      <c r="AAB1" s="84"/>
      <c r="AAC1" s="84"/>
      <c r="AAD1" s="84"/>
      <c r="AAE1" s="84"/>
      <c r="AAF1" s="84"/>
      <c r="AAG1" s="84"/>
      <c r="AAH1" s="84"/>
      <c r="AAI1" s="84"/>
      <c r="AAJ1" s="84"/>
      <c r="AAK1" s="84"/>
      <c r="AAL1" s="84"/>
      <c r="AAM1" s="84"/>
      <c r="AAN1" s="84"/>
      <c r="AAO1" s="84"/>
      <c r="AAP1" s="84"/>
      <c r="AAQ1" s="84"/>
      <c r="AAR1" s="84"/>
      <c r="AAS1" s="84"/>
      <c r="AAT1" s="84"/>
      <c r="AAU1" s="84"/>
      <c r="AAV1" s="84"/>
      <c r="AAW1" s="84"/>
      <c r="AAX1" s="84"/>
      <c r="AAY1" s="84"/>
      <c r="AAZ1" s="84"/>
      <c r="ABA1" s="84"/>
      <c r="ABB1" s="84"/>
      <c r="ABC1" s="84"/>
      <c r="ABD1" s="84"/>
      <c r="ABE1" s="84"/>
      <c r="ABF1" s="84"/>
      <c r="ABG1" s="84"/>
      <c r="ABH1" s="84"/>
      <c r="ABI1" s="84"/>
      <c r="ABJ1" s="84"/>
      <c r="ABK1" s="84"/>
      <c r="ABL1" s="84"/>
      <c r="ABM1" s="84"/>
      <c r="ABN1" s="84"/>
      <c r="ABO1" s="84"/>
      <c r="ABP1" s="84"/>
      <c r="ABQ1" s="84"/>
      <c r="ABR1" s="84"/>
      <c r="ABS1" s="84"/>
      <c r="ABT1" s="84"/>
      <c r="ABU1" s="84"/>
      <c r="ABV1" s="84"/>
      <c r="ABW1" s="84"/>
      <c r="ABX1" s="84"/>
      <c r="ABY1" s="84"/>
      <c r="ABZ1" s="84"/>
      <c r="ACA1" s="84"/>
      <c r="ACB1" s="84"/>
      <c r="ACC1" s="84"/>
      <c r="ACD1" s="84"/>
      <c r="ACE1" s="84"/>
      <c r="ACF1" s="84"/>
      <c r="ACG1" s="84"/>
      <c r="ACH1" s="84"/>
      <c r="ACI1" s="84"/>
      <c r="ACJ1" s="84"/>
      <c r="ACK1" s="84"/>
      <c r="ACL1" s="84"/>
      <c r="ACM1" s="84"/>
      <c r="ACN1" s="84"/>
      <c r="ACO1" s="84"/>
      <c r="ACP1" s="84"/>
      <c r="ACQ1" s="84"/>
      <c r="ACR1" s="84"/>
      <c r="ACS1" s="84"/>
      <c r="ACT1" s="84"/>
      <c r="ACU1" s="84"/>
      <c r="ACV1" s="84"/>
      <c r="ACW1" s="84"/>
      <c r="ACX1" s="84"/>
      <c r="ACY1" s="84"/>
      <c r="ACZ1" s="84"/>
      <c r="ADA1" s="84"/>
      <c r="ADB1" s="84"/>
      <c r="ADC1" s="84"/>
      <c r="ADD1" s="84"/>
      <c r="ADE1" s="84"/>
      <c r="ADF1" s="84"/>
      <c r="ADG1" s="84"/>
      <c r="ADH1" s="84"/>
      <c r="ADI1" s="84"/>
      <c r="ADJ1" s="84"/>
      <c r="ADK1" s="84"/>
      <c r="ADL1" s="84"/>
      <c r="ADM1" s="84"/>
      <c r="ADN1" s="84"/>
      <c r="ADO1" s="84"/>
      <c r="ADP1" s="84"/>
      <c r="ADQ1" s="84"/>
      <c r="ADR1" s="84"/>
      <c r="ADS1" s="84"/>
      <c r="ADT1" s="84"/>
      <c r="ADU1" s="84"/>
      <c r="ADV1" s="84"/>
      <c r="ADW1" s="84"/>
      <c r="ADX1" s="84"/>
      <c r="ADY1" s="84"/>
      <c r="ADZ1" s="84"/>
      <c r="AEA1" s="84"/>
      <c r="AEB1" s="84"/>
      <c r="AEC1" s="84"/>
      <c r="AED1" s="84"/>
      <c r="AEE1" s="84"/>
      <c r="AEF1" s="84"/>
      <c r="AEG1" s="84"/>
      <c r="AEH1" s="84"/>
      <c r="AEI1" s="84"/>
      <c r="AEJ1" s="84"/>
      <c r="AEK1" s="84"/>
      <c r="AEL1" s="84"/>
      <c r="AEM1" s="84"/>
      <c r="AEN1" s="84"/>
      <c r="AEO1" s="84"/>
      <c r="AEP1" s="84"/>
      <c r="AEQ1" s="84"/>
      <c r="AER1" s="84"/>
      <c r="AES1" s="84"/>
      <c r="AET1" s="84"/>
      <c r="AEU1" s="84"/>
      <c r="AEV1" s="84"/>
      <c r="AEW1" s="84"/>
      <c r="AEX1" s="84"/>
      <c r="AEY1" s="84"/>
      <c r="AEZ1" s="84"/>
      <c r="AFA1" s="84"/>
      <c r="AFB1" s="84"/>
      <c r="AFC1" s="84"/>
      <c r="AFD1" s="84"/>
      <c r="AFE1" s="84"/>
      <c r="AFF1" s="84"/>
      <c r="AFG1" s="84"/>
      <c r="AFH1" s="84"/>
      <c r="AFI1" s="84"/>
      <c r="AFJ1" s="84"/>
      <c r="AFK1" s="84"/>
      <c r="AFL1" s="84"/>
      <c r="AFM1" s="84"/>
      <c r="AFN1" s="84"/>
      <c r="AFO1" s="84"/>
      <c r="AFP1" s="84"/>
      <c r="AFQ1" s="84"/>
      <c r="AFR1" s="84"/>
      <c r="AFS1" s="84"/>
      <c r="AFT1" s="84"/>
      <c r="AFU1" s="84"/>
      <c r="AFV1" s="84"/>
      <c r="AFW1" s="84"/>
      <c r="AFX1" s="84"/>
      <c r="AFY1" s="84"/>
      <c r="AFZ1" s="84"/>
      <c r="AGA1" s="84"/>
      <c r="AGB1" s="84"/>
      <c r="AGC1" s="84"/>
      <c r="AGD1" s="84"/>
      <c r="AGE1" s="84"/>
      <c r="AGF1" s="84"/>
      <c r="AGG1" s="84"/>
      <c r="AGH1" s="84"/>
      <c r="AGI1" s="84"/>
      <c r="AGJ1" s="84"/>
      <c r="AGK1" s="84"/>
      <c r="AGL1" s="84"/>
      <c r="AGM1" s="84"/>
      <c r="AGN1" s="84"/>
      <c r="AGO1" s="84"/>
      <c r="AGP1" s="84"/>
      <c r="AGQ1" s="84"/>
      <c r="AGR1" s="84"/>
      <c r="AGS1" s="84"/>
      <c r="AGT1" s="84"/>
      <c r="AGU1" s="84"/>
      <c r="AGV1" s="84"/>
      <c r="AGW1" s="84"/>
      <c r="AGX1" s="84"/>
      <c r="AGY1" s="84"/>
      <c r="AGZ1" s="84"/>
      <c r="AHA1" s="84"/>
      <c r="AHB1" s="84"/>
      <c r="AHC1" s="84"/>
      <c r="AHD1" s="84"/>
      <c r="AHE1" s="84"/>
      <c r="AHF1" s="84"/>
      <c r="AHG1" s="84"/>
      <c r="AHH1" s="84"/>
      <c r="AHI1" s="84"/>
      <c r="AHJ1" s="84"/>
      <c r="AHK1" s="84"/>
      <c r="AHL1" s="84"/>
      <c r="AHM1" s="84"/>
      <c r="AHN1" s="84"/>
      <c r="AHO1" s="84"/>
      <c r="AHP1" s="84"/>
      <c r="AHQ1" s="84"/>
      <c r="AHR1" s="84"/>
      <c r="AHS1" s="84"/>
      <c r="AHT1" s="84"/>
      <c r="AHU1" s="84"/>
      <c r="AHV1" s="84"/>
      <c r="AHW1" s="84"/>
      <c r="AHX1" s="84"/>
      <c r="AHY1" s="84"/>
      <c r="AHZ1" s="84"/>
      <c r="AIA1" s="84"/>
      <c r="AIB1" s="84"/>
      <c r="AIC1" s="84"/>
      <c r="AID1" s="84"/>
      <c r="AIE1" s="84"/>
      <c r="AIF1" s="84"/>
      <c r="AIG1" s="84"/>
      <c r="AIH1" s="84"/>
      <c r="AII1" s="84"/>
      <c r="AIJ1" s="84"/>
      <c r="AIK1" s="84"/>
      <c r="AIL1" s="84"/>
      <c r="AIM1" s="84"/>
      <c r="AIN1" s="84"/>
      <c r="AIO1" s="84"/>
      <c r="AIP1" s="84"/>
      <c r="AIQ1" s="84"/>
      <c r="AIR1" s="84"/>
      <c r="AIS1" s="84"/>
      <c r="AIT1" s="84"/>
      <c r="AIU1" s="84"/>
      <c r="AIV1" s="84"/>
      <c r="AIW1" s="84"/>
      <c r="AIX1" s="84"/>
      <c r="AIY1" s="84"/>
      <c r="AIZ1" s="84"/>
      <c r="AJA1" s="84"/>
      <c r="AJB1" s="84"/>
      <c r="AJC1" s="84"/>
      <c r="AJD1" s="84"/>
      <c r="AJE1" s="84"/>
      <c r="AJF1" s="84"/>
      <c r="AJG1" s="84"/>
      <c r="AJH1" s="84"/>
      <c r="AJI1" s="84"/>
      <c r="AJJ1" s="84"/>
      <c r="AJK1" s="84"/>
      <c r="AJL1" s="84"/>
      <c r="AJM1" s="84"/>
      <c r="AJN1" s="84"/>
      <c r="AJO1" s="84"/>
      <c r="AJP1" s="84"/>
      <c r="AJQ1" s="84"/>
      <c r="AJR1" s="84"/>
      <c r="AJS1" s="84"/>
      <c r="AJT1" s="84"/>
      <c r="AJU1" s="84"/>
      <c r="AJV1" s="84"/>
      <c r="AJW1" s="84"/>
      <c r="AJX1" s="84"/>
      <c r="AJY1" s="84"/>
      <c r="AJZ1" s="84"/>
      <c r="AKA1" s="84"/>
      <c r="AKB1" s="84"/>
      <c r="AKC1" s="84"/>
      <c r="AKD1" s="84"/>
      <c r="AKE1" s="84"/>
      <c r="AKF1" s="84"/>
      <c r="AKG1" s="84"/>
      <c r="AKH1" s="84"/>
      <c r="AKI1" s="84"/>
      <c r="AKJ1" s="84"/>
      <c r="AKK1" s="84"/>
      <c r="AKL1" s="84"/>
      <c r="AKM1" s="84"/>
      <c r="AKN1" s="84"/>
      <c r="AKO1" s="84"/>
      <c r="AKP1" s="84"/>
      <c r="AKQ1" s="84"/>
      <c r="AKR1" s="84"/>
      <c r="AKS1" s="84"/>
      <c r="AKT1" s="84"/>
      <c r="AKU1" s="84"/>
      <c r="AKV1" s="84"/>
      <c r="AKW1" s="84"/>
      <c r="AKX1" s="84"/>
      <c r="AKY1" s="84"/>
      <c r="AKZ1" s="84"/>
      <c r="ALA1" s="84"/>
      <c r="ALB1" s="84"/>
      <c r="ALC1" s="84"/>
      <c r="ALD1" s="84"/>
      <c r="ALE1" s="84"/>
      <c r="ALF1" s="84"/>
      <c r="ALG1" s="84"/>
      <c r="ALH1" s="84"/>
      <c r="ALI1" s="84"/>
      <c r="ALJ1" s="84"/>
      <c r="ALK1" s="84"/>
      <c r="ALL1" s="84"/>
      <c r="ALM1" s="84"/>
      <c r="ALN1" s="84"/>
      <c r="ALO1" s="84"/>
      <c r="ALP1" s="84"/>
      <c r="ALQ1" s="84"/>
      <c r="ALR1" s="84"/>
      <c r="ALS1" s="84"/>
      <c r="ALT1" s="84"/>
      <c r="ALU1" s="84"/>
      <c r="ALV1" s="84"/>
      <c r="ALW1" s="84"/>
      <c r="ALX1" s="84"/>
      <c r="ALY1" s="84"/>
      <c r="ALZ1" s="84"/>
      <c r="AMA1" s="84"/>
      <c r="AMB1" s="84"/>
      <c r="AMC1" s="84"/>
      <c r="AMD1" s="84"/>
      <c r="AME1" s="84"/>
      <c r="AMF1" s="84"/>
      <c r="AMG1" s="84"/>
      <c r="AMH1" s="84"/>
      <c r="AMI1" s="84"/>
      <c r="AMJ1" s="84"/>
      <c r="AMK1" s="84"/>
      <c r="AML1" s="84"/>
      <c r="AMM1" s="84"/>
      <c r="AMN1" s="84"/>
      <c r="AMO1" s="84"/>
      <c r="AMP1" s="84"/>
      <c r="AMQ1" s="84"/>
      <c r="AMR1" s="84"/>
      <c r="AMS1" s="84"/>
      <c r="AMT1" s="84"/>
      <c r="AMU1" s="84"/>
      <c r="AMV1" s="84"/>
      <c r="AMW1" s="84"/>
      <c r="AMX1" s="84"/>
      <c r="AMY1" s="84"/>
      <c r="AMZ1" s="84"/>
      <c r="ANA1" s="84"/>
      <c r="ANB1" s="84"/>
      <c r="ANC1" s="84"/>
      <c r="AND1" s="84"/>
      <c r="ANE1" s="84"/>
      <c r="ANF1" s="84"/>
      <c r="ANG1" s="84"/>
      <c r="ANH1" s="84"/>
      <c r="ANI1" s="84"/>
      <c r="ANJ1" s="84"/>
      <c r="ANK1" s="84"/>
      <c r="ANL1" s="84"/>
      <c r="ANM1" s="84"/>
      <c r="ANN1" s="84"/>
      <c r="ANO1" s="84"/>
      <c r="ANP1" s="84"/>
      <c r="ANQ1" s="84"/>
      <c r="ANR1" s="84"/>
      <c r="ANS1" s="84"/>
      <c r="ANT1" s="84"/>
      <c r="ANU1" s="84"/>
      <c r="ANV1" s="84"/>
      <c r="ANW1" s="84"/>
      <c r="ANX1" s="84"/>
      <c r="ANY1" s="84"/>
      <c r="ANZ1" s="84"/>
      <c r="AOA1" s="84"/>
      <c r="AOB1" s="84"/>
      <c r="AOC1" s="84"/>
      <c r="AOD1" s="84"/>
      <c r="AOE1" s="84"/>
      <c r="AOF1" s="84"/>
      <c r="AOG1" s="84"/>
      <c r="AOH1" s="84"/>
      <c r="AOI1" s="84"/>
      <c r="AOJ1" s="84"/>
      <c r="AOK1" s="84"/>
      <c r="AOL1" s="84"/>
      <c r="AOM1" s="84"/>
      <c r="AON1" s="84"/>
      <c r="AOO1" s="84"/>
      <c r="AOP1" s="84"/>
      <c r="AOQ1" s="84"/>
      <c r="AOR1" s="84"/>
      <c r="AOS1" s="84"/>
      <c r="AOT1" s="84"/>
      <c r="AOU1" s="84"/>
      <c r="AOV1" s="84"/>
      <c r="AOW1" s="84"/>
      <c r="AOX1" s="84"/>
      <c r="AOY1" s="84"/>
      <c r="AOZ1" s="84"/>
      <c r="APA1" s="84"/>
      <c r="APB1" s="84"/>
      <c r="APC1" s="84"/>
      <c r="APD1" s="84"/>
      <c r="APE1" s="84"/>
      <c r="APF1" s="84"/>
      <c r="APG1" s="84"/>
      <c r="APH1" s="84"/>
      <c r="API1" s="84"/>
      <c r="APJ1" s="84"/>
      <c r="APK1" s="84"/>
      <c r="APL1" s="84"/>
      <c r="APM1" s="84"/>
      <c r="APN1" s="84"/>
      <c r="APO1" s="84"/>
      <c r="APP1" s="84"/>
      <c r="APQ1" s="84"/>
      <c r="APR1" s="84"/>
      <c r="APS1" s="84"/>
      <c r="APT1" s="84"/>
      <c r="APU1" s="84"/>
      <c r="APV1" s="84"/>
      <c r="APW1" s="84"/>
      <c r="APX1" s="84"/>
      <c r="APY1" s="84"/>
      <c r="APZ1" s="84"/>
      <c r="AQA1" s="84"/>
      <c r="AQB1" s="84"/>
      <c r="AQC1" s="84"/>
      <c r="AQD1" s="84"/>
      <c r="AQE1" s="84"/>
      <c r="AQF1" s="84"/>
      <c r="AQG1" s="84"/>
      <c r="AQH1" s="84"/>
      <c r="AQI1" s="84"/>
      <c r="AQJ1" s="84"/>
      <c r="AQK1" s="84"/>
      <c r="AQL1" s="84"/>
      <c r="AQM1" s="84"/>
      <c r="AQN1" s="84"/>
      <c r="AQO1" s="84"/>
      <c r="AQP1" s="84"/>
      <c r="AQQ1" s="84"/>
      <c r="AQR1" s="84"/>
      <c r="AQS1" s="84"/>
      <c r="AQT1" s="84"/>
      <c r="AQU1" s="84"/>
      <c r="AQV1" s="84"/>
      <c r="AQW1" s="84"/>
      <c r="AQX1" s="84"/>
      <c r="AQY1" s="84"/>
      <c r="AQZ1" s="84"/>
      <c r="ARA1" s="84"/>
      <c r="ARB1" s="84"/>
      <c r="ARC1" s="84"/>
      <c r="ARD1" s="84"/>
      <c r="ARE1" s="84"/>
      <c r="ARF1" s="84"/>
      <c r="ARG1" s="84"/>
      <c r="ARH1" s="84"/>
      <c r="ARI1" s="84"/>
      <c r="ARJ1" s="84"/>
      <c r="ARK1" s="84"/>
      <c r="ARL1" s="84"/>
      <c r="ARM1" s="84"/>
      <c r="ARN1" s="84"/>
      <c r="ARO1" s="84"/>
      <c r="ARP1" s="84"/>
      <c r="ARQ1" s="84"/>
      <c r="ARR1" s="84"/>
      <c r="ARS1" s="84"/>
      <c r="ART1" s="84"/>
      <c r="ARU1" s="84"/>
      <c r="ARV1" s="84"/>
      <c r="ARW1" s="84"/>
      <c r="ARX1" s="84"/>
      <c r="ARY1" s="84"/>
      <c r="ARZ1" s="84"/>
      <c r="ASA1" s="84"/>
      <c r="ASB1" s="84"/>
      <c r="ASC1" s="84"/>
      <c r="ASD1" s="84"/>
      <c r="ASE1" s="84"/>
      <c r="ASF1" s="84"/>
      <c r="ASG1" s="84"/>
      <c r="ASH1" s="84"/>
      <c r="ASI1" s="84"/>
      <c r="ASJ1" s="84"/>
      <c r="ASK1" s="84"/>
      <c r="ASL1" s="84"/>
      <c r="ASM1" s="84"/>
      <c r="ASN1" s="84"/>
      <c r="ASO1" s="84"/>
      <c r="ASP1" s="84"/>
      <c r="ASQ1" s="84"/>
      <c r="ASR1" s="84"/>
      <c r="ASS1" s="84"/>
      <c r="AST1" s="84"/>
      <c r="ASU1" s="84"/>
      <c r="ASV1" s="84"/>
      <c r="ASW1" s="84"/>
      <c r="ASX1" s="84"/>
      <c r="ASY1" s="84"/>
      <c r="ASZ1" s="84"/>
      <c r="ATA1" s="84"/>
      <c r="ATB1" s="84"/>
      <c r="ATC1" s="84"/>
      <c r="ATD1" s="84"/>
      <c r="ATE1" s="84"/>
      <c r="ATF1" s="84"/>
      <c r="ATG1" s="84"/>
      <c r="ATH1" s="84"/>
      <c r="ATI1" s="84"/>
      <c r="ATJ1" s="84"/>
      <c r="ATK1" s="84"/>
      <c r="ATL1" s="84"/>
      <c r="ATM1" s="84"/>
      <c r="ATN1" s="84"/>
      <c r="ATO1" s="84"/>
      <c r="ATP1" s="84"/>
      <c r="ATQ1" s="84"/>
      <c r="ATR1" s="84"/>
      <c r="ATS1" s="84"/>
      <c r="ATT1" s="84"/>
      <c r="ATU1" s="84"/>
      <c r="ATV1" s="84"/>
      <c r="ATW1" s="84"/>
      <c r="ATX1" s="84"/>
      <c r="ATY1" s="84"/>
      <c r="ATZ1" s="84"/>
      <c r="AUA1" s="84"/>
      <c r="AUB1" s="84"/>
      <c r="AUC1" s="84"/>
      <c r="AUD1" s="84"/>
      <c r="AUE1" s="84"/>
      <c r="AUF1" s="84"/>
      <c r="AUG1" s="84"/>
      <c r="AUH1" s="84"/>
      <c r="AUI1" s="84"/>
      <c r="AUJ1" s="84"/>
      <c r="AUK1" s="84"/>
      <c r="AUL1" s="84"/>
      <c r="AUM1" s="84"/>
      <c r="AUN1" s="84"/>
      <c r="AUO1" s="84"/>
      <c r="AUP1" s="84"/>
      <c r="AUQ1" s="84"/>
      <c r="AUR1" s="84"/>
      <c r="AUS1" s="84"/>
      <c r="AUT1" s="84"/>
      <c r="AUU1" s="84"/>
      <c r="AUV1" s="84"/>
      <c r="AUW1" s="84"/>
      <c r="AUX1" s="84"/>
      <c r="AUY1" s="84"/>
      <c r="AUZ1" s="84"/>
      <c r="AVA1" s="84"/>
      <c r="AVB1" s="84"/>
      <c r="AVC1" s="84"/>
      <c r="AVD1" s="84"/>
      <c r="AVE1" s="84"/>
      <c r="AVF1" s="84"/>
      <c r="AVG1" s="84"/>
      <c r="AVH1" s="84"/>
      <c r="AVI1" s="84"/>
      <c r="AVJ1" s="84"/>
      <c r="AVK1" s="84"/>
      <c r="AVL1" s="84"/>
      <c r="AVM1" s="84"/>
      <c r="AVN1" s="84"/>
      <c r="AVO1" s="84"/>
      <c r="AVP1" s="84"/>
      <c r="AVQ1" s="84"/>
      <c r="AVR1" s="84"/>
      <c r="AVS1" s="84"/>
      <c r="AVT1" s="84"/>
      <c r="AVU1" s="84"/>
      <c r="AVV1" s="84"/>
      <c r="AVW1" s="84"/>
      <c r="AVX1" s="84"/>
      <c r="AVY1" s="84"/>
      <c r="AVZ1" s="84"/>
      <c r="AWA1" s="84"/>
      <c r="AWB1" s="84"/>
      <c r="AWC1" s="84"/>
      <c r="AWD1" s="84"/>
      <c r="AWE1" s="84"/>
      <c r="AWF1" s="84"/>
      <c r="AWG1" s="84"/>
      <c r="AWH1" s="84"/>
      <c r="AWI1" s="84"/>
      <c r="AWJ1" s="84"/>
      <c r="AWK1" s="84"/>
      <c r="AWL1" s="84"/>
      <c r="AWM1" s="84"/>
      <c r="AWN1" s="84"/>
      <c r="AWO1" s="84"/>
      <c r="AWP1" s="84"/>
      <c r="AWQ1" s="84"/>
      <c r="AWR1" s="84"/>
      <c r="AWS1" s="84"/>
      <c r="AWT1" s="84"/>
      <c r="AWU1" s="84"/>
      <c r="AWV1" s="84"/>
      <c r="AWW1" s="84"/>
      <c r="AWX1" s="84"/>
      <c r="AWY1" s="84"/>
      <c r="AWZ1" s="84"/>
      <c r="AXA1" s="84"/>
      <c r="AXB1" s="84"/>
      <c r="AXC1" s="84"/>
      <c r="AXD1" s="84"/>
      <c r="AXE1" s="84"/>
      <c r="AXF1" s="84"/>
      <c r="AXG1" s="84"/>
      <c r="AXH1" s="84"/>
      <c r="AXI1" s="84"/>
      <c r="AXJ1" s="84"/>
      <c r="AXK1" s="84"/>
      <c r="AXL1" s="84"/>
      <c r="AXM1" s="84"/>
      <c r="AXN1" s="84"/>
      <c r="AXO1" s="84"/>
      <c r="AXP1" s="84"/>
      <c r="AXQ1" s="84"/>
      <c r="AXR1" s="84"/>
      <c r="AXS1" s="84"/>
      <c r="AXT1" s="84"/>
      <c r="AXU1" s="84"/>
      <c r="AXV1" s="84"/>
      <c r="AXW1" s="84"/>
      <c r="AXX1" s="84"/>
      <c r="AXY1" s="84"/>
      <c r="AXZ1" s="84"/>
      <c r="AYA1" s="84"/>
      <c r="AYB1" s="84"/>
      <c r="AYC1" s="84"/>
      <c r="AYD1" s="84"/>
      <c r="AYE1" s="84"/>
      <c r="AYF1" s="84"/>
      <c r="AYG1" s="84"/>
      <c r="AYH1" s="84"/>
      <c r="AYI1" s="84"/>
      <c r="AYJ1" s="84"/>
      <c r="AYK1" s="84"/>
      <c r="AYL1" s="84"/>
      <c r="AYM1" s="84"/>
      <c r="AYN1" s="84"/>
      <c r="AYO1" s="84"/>
      <c r="AYP1" s="84"/>
      <c r="AYQ1" s="84"/>
      <c r="AYR1" s="84"/>
      <c r="AYS1" s="84"/>
      <c r="AYT1" s="84"/>
      <c r="AYU1" s="84"/>
      <c r="AYV1" s="84"/>
      <c r="AYW1" s="84"/>
      <c r="AYX1" s="84"/>
      <c r="AYY1" s="84"/>
      <c r="AYZ1" s="84"/>
      <c r="AZA1" s="84"/>
      <c r="AZB1" s="84"/>
      <c r="AZC1" s="84"/>
      <c r="AZD1" s="84"/>
      <c r="AZE1" s="84"/>
      <c r="AZF1" s="84"/>
      <c r="AZG1" s="84"/>
      <c r="AZH1" s="84"/>
      <c r="AZI1" s="84"/>
      <c r="AZJ1" s="84"/>
      <c r="AZK1" s="84"/>
      <c r="AZL1" s="84"/>
      <c r="AZM1" s="84"/>
      <c r="AZN1" s="84"/>
      <c r="AZO1" s="84"/>
      <c r="AZP1" s="84"/>
      <c r="AZQ1" s="84"/>
      <c r="AZR1" s="84"/>
      <c r="AZS1" s="84"/>
      <c r="AZT1" s="84"/>
      <c r="AZU1" s="84"/>
      <c r="AZV1" s="84"/>
      <c r="AZW1" s="84"/>
      <c r="AZX1" s="84"/>
      <c r="AZY1" s="84"/>
      <c r="AZZ1" s="84"/>
      <c r="BAA1" s="84"/>
      <c r="BAB1" s="84"/>
      <c r="BAC1" s="84"/>
      <c r="BAD1" s="84"/>
      <c r="BAE1" s="84"/>
      <c r="BAF1" s="84"/>
      <c r="BAG1" s="84"/>
      <c r="BAH1" s="84"/>
      <c r="BAI1" s="84"/>
      <c r="BAJ1" s="84"/>
      <c r="BAK1" s="84"/>
      <c r="BAL1" s="84"/>
      <c r="BAM1" s="84"/>
      <c r="BAN1" s="84"/>
      <c r="BAO1" s="84"/>
      <c r="BAP1" s="84"/>
      <c r="BAQ1" s="84"/>
      <c r="BAR1" s="84"/>
      <c r="BAS1" s="84"/>
      <c r="BAT1" s="84"/>
      <c r="BAU1" s="84"/>
      <c r="BAV1" s="84"/>
      <c r="BAW1" s="84"/>
      <c r="BAX1" s="84"/>
      <c r="BAY1" s="84"/>
      <c r="BAZ1" s="84"/>
      <c r="BBA1" s="84"/>
      <c r="BBB1" s="84"/>
      <c r="BBC1" s="84"/>
      <c r="BBD1" s="84"/>
      <c r="BBE1" s="84"/>
      <c r="BBF1" s="84"/>
      <c r="BBG1" s="84"/>
      <c r="BBH1" s="84"/>
      <c r="BBI1" s="84"/>
      <c r="BBJ1" s="84"/>
      <c r="BBK1" s="84"/>
      <c r="BBL1" s="84"/>
      <c r="BBM1" s="84"/>
      <c r="BBN1" s="84"/>
      <c r="BBO1" s="84"/>
      <c r="BBP1" s="84"/>
      <c r="BBQ1" s="84"/>
      <c r="BBR1" s="84"/>
      <c r="BBS1" s="84"/>
      <c r="BBT1" s="84"/>
      <c r="BBU1" s="84"/>
      <c r="BBV1" s="84"/>
      <c r="BBW1" s="84"/>
      <c r="BBX1" s="84"/>
      <c r="BBY1" s="84"/>
      <c r="BBZ1" s="84"/>
      <c r="BCA1" s="84"/>
      <c r="BCB1" s="84"/>
      <c r="BCC1" s="84"/>
      <c r="BCD1" s="84"/>
      <c r="BCE1" s="84"/>
      <c r="BCF1" s="84"/>
      <c r="BCG1" s="84"/>
      <c r="BCH1" s="84"/>
      <c r="BCI1" s="84"/>
      <c r="BCJ1" s="84"/>
      <c r="BCK1" s="84"/>
      <c r="BCL1" s="84"/>
      <c r="BCM1" s="84"/>
      <c r="BCN1" s="84"/>
      <c r="BCO1" s="84"/>
      <c r="BCP1" s="84"/>
      <c r="BCQ1" s="84"/>
      <c r="BCR1" s="84"/>
      <c r="BCS1" s="84"/>
      <c r="BCT1" s="84"/>
      <c r="BCU1" s="84"/>
      <c r="BCV1" s="84"/>
      <c r="BCW1" s="84"/>
      <c r="BCX1" s="84"/>
      <c r="BCY1" s="84"/>
      <c r="BCZ1" s="84"/>
      <c r="BDA1" s="84"/>
      <c r="BDB1" s="84"/>
      <c r="BDC1" s="84"/>
      <c r="BDD1" s="84"/>
      <c r="BDE1" s="84"/>
      <c r="BDF1" s="84"/>
      <c r="BDG1" s="84"/>
      <c r="BDH1" s="84"/>
      <c r="BDI1" s="84"/>
      <c r="BDJ1" s="84"/>
      <c r="BDK1" s="84"/>
      <c r="BDL1" s="84"/>
      <c r="BDM1" s="84"/>
      <c r="BDN1" s="84"/>
      <c r="BDO1" s="84"/>
      <c r="BDP1" s="84"/>
      <c r="BDQ1" s="84"/>
      <c r="BDR1" s="84"/>
      <c r="BDS1" s="84"/>
      <c r="BDT1" s="84"/>
      <c r="BDU1" s="84"/>
      <c r="BDV1" s="84"/>
      <c r="BDW1" s="84"/>
      <c r="BDX1" s="84"/>
      <c r="BDY1" s="84"/>
      <c r="BDZ1" s="84"/>
      <c r="BEA1" s="84"/>
      <c r="BEB1" s="84"/>
      <c r="BEC1" s="84"/>
      <c r="BED1" s="84"/>
      <c r="BEE1" s="84"/>
      <c r="BEF1" s="84"/>
      <c r="BEG1" s="84"/>
      <c r="BEH1" s="84"/>
      <c r="BEI1" s="84"/>
      <c r="BEJ1" s="84"/>
      <c r="BEK1" s="84"/>
      <c r="BEL1" s="84"/>
      <c r="BEM1" s="84"/>
      <c r="BEN1" s="84"/>
      <c r="BEO1" s="84"/>
      <c r="BEP1" s="84"/>
      <c r="BEQ1" s="84"/>
      <c r="BER1" s="84"/>
      <c r="BES1" s="84"/>
      <c r="BET1" s="84"/>
      <c r="BEU1" s="84"/>
      <c r="BEV1" s="84"/>
      <c r="BEW1" s="84"/>
      <c r="BEX1" s="84"/>
      <c r="BEY1" s="84"/>
      <c r="BEZ1" s="84"/>
      <c r="BFA1" s="84"/>
      <c r="BFB1" s="84"/>
      <c r="BFC1" s="84"/>
      <c r="BFD1" s="84"/>
      <c r="BFE1" s="84"/>
      <c r="BFF1" s="84"/>
      <c r="BFG1" s="84"/>
      <c r="BFH1" s="84"/>
      <c r="BFI1" s="84"/>
      <c r="BFJ1" s="84"/>
      <c r="BFK1" s="84"/>
      <c r="BFL1" s="84"/>
      <c r="BFM1" s="84"/>
      <c r="BFN1" s="84"/>
      <c r="BFO1" s="84"/>
      <c r="BFP1" s="84"/>
      <c r="BFQ1" s="84"/>
      <c r="BFR1" s="84"/>
      <c r="BFS1" s="84"/>
      <c r="BFT1" s="84"/>
      <c r="BFU1" s="84"/>
      <c r="BFV1" s="84"/>
      <c r="BFW1" s="84"/>
      <c r="BFX1" s="84"/>
      <c r="BFY1" s="84"/>
      <c r="BFZ1" s="84"/>
      <c r="BGA1" s="84"/>
      <c r="BGB1" s="84"/>
      <c r="BGC1" s="84"/>
      <c r="BGD1" s="84"/>
      <c r="BGE1" s="84"/>
      <c r="BGF1" s="84"/>
      <c r="BGG1" s="84"/>
      <c r="BGH1" s="84"/>
      <c r="BGI1" s="84"/>
      <c r="BGJ1" s="84"/>
      <c r="BGK1" s="84"/>
      <c r="BGL1" s="84"/>
      <c r="BGM1" s="84"/>
      <c r="BGN1" s="84"/>
      <c r="BGO1" s="84"/>
      <c r="BGP1" s="84"/>
      <c r="BGQ1" s="84"/>
      <c r="BGR1" s="84"/>
      <c r="BGS1" s="84"/>
      <c r="BGT1" s="84"/>
      <c r="BGU1" s="84"/>
      <c r="BGV1" s="84"/>
      <c r="BGW1" s="84"/>
      <c r="BGX1" s="84"/>
      <c r="BGY1" s="84"/>
      <c r="BGZ1" s="84"/>
      <c r="BHA1" s="84"/>
      <c r="BHB1" s="84"/>
      <c r="BHC1" s="84"/>
      <c r="BHD1" s="84"/>
      <c r="BHE1" s="84"/>
      <c r="BHF1" s="84"/>
      <c r="BHG1" s="84"/>
      <c r="BHH1" s="84"/>
      <c r="BHI1" s="84"/>
      <c r="BHJ1" s="84"/>
      <c r="BHK1" s="84"/>
      <c r="BHL1" s="84"/>
      <c r="BHM1" s="84"/>
      <c r="BHN1" s="84"/>
      <c r="BHO1" s="84"/>
      <c r="BHP1" s="84"/>
      <c r="BHQ1" s="84"/>
      <c r="BHR1" s="84"/>
      <c r="BHS1" s="84"/>
      <c r="BHT1" s="84"/>
      <c r="BHU1" s="84"/>
      <c r="BHV1" s="84"/>
      <c r="BHW1" s="84"/>
      <c r="BHX1" s="84"/>
      <c r="BHY1" s="84"/>
      <c r="BHZ1" s="84"/>
      <c r="BIA1" s="84"/>
      <c r="BIB1" s="84"/>
      <c r="BIC1" s="84"/>
      <c r="BID1" s="84"/>
      <c r="BIE1" s="84"/>
      <c r="BIF1" s="84"/>
      <c r="BIG1" s="84"/>
      <c r="BIH1" s="84"/>
      <c r="BII1" s="84"/>
      <c r="BIJ1" s="84"/>
      <c r="BIK1" s="84"/>
      <c r="BIL1" s="84"/>
      <c r="BIM1" s="84"/>
      <c r="BIN1" s="84"/>
      <c r="BIO1" s="84"/>
      <c r="BIP1" s="84"/>
      <c r="BIQ1" s="84"/>
      <c r="BIR1" s="84"/>
      <c r="BIS1" s="84"/>
      <c r="BIT1" s="84"/>
      <c r="BIU1" s="84"/>
      <c r="BIV1" s="84"/>
      <c r="BIW1" s="84"/>
      <c r="BIX1" s="84"/>
      <c r="BIY1" s="84"/>
      <c r="BIZ1" s="84"/>
      <c r="BJA1" s="84"/>
      <c r="BJB1" s="84"/>
      <c r="BJC1" s="84"/>
      <c r="BJD1" s="84"/>
      <c r="BJE1" s="84"/>
      <c r="BJF1" s="84"/>
      <c r="BJG1" s="84"/>
      <c r="BJH1" s="84"/>
      <c r="BJI1" s="84"/>
      <c r="BJJ1" s="84"/>
      <c r="BJK1" s="84"/>
      <c r="BJL1" s="84"/>
      <c r="BJM1" s="84"/>
      <c r="BJN1" s="84"/>
      <c r="BJO1" s="84"/>
      <c r="BJP1" s="84"/>
      <c r="BJQ1" s="84"/>
      <c r="BJR1" s="84"/>
      <c r="BJS1" s="84"/>
      <c r="BJT1" s="84"/>
      <c r="BJU1" s="84"/>
      <c r="BJV1" s="84"/>
      <c r="BJW1" s="84"/>
      <c r="BJX1" s="84"/>
      <c r="BJY1" s="84"/>
      <c r="BJZ1" s="84"/>
      <c r="BKA1" s="84"/>
      <c r="BKB1" s="84"/>
      <c r="BKC1" s="84"/>
      <c r="BKD1" s="84"/>
      <c r="BKE1" s="84"/>
      <c r="BKF1" s="84"/>
      <c r="BKG1" s="84"/>
      <c r="BKH1" s="84"/>
      <c r="BKI1" s="84"/>
      <c r="BKJ1" s="84"/>
      <c r="BKK1" s="84"/>
      <c r="BKL1" s="84"/>
      <c r="BKM1" s="84"/>
      <c r="BKN1" s="84"/>
      <c r="BKO1" s="84"/>
      <c r="BKP1" s="84"/>
      <c r="BKQ1" s="84"/>
      <c r="BKR1" s="84"/>
      <c r="BKS1" s="84"/>
      <c r="BKT1" s="84"/>
      <c r="BKU1" s="84"/>
      <c r="BKV1" s="84"/>
      <c r="BKW1" s="84"/>
      <c r="BKX1" s="84"/>
      <c r="BKY1" s="84"/>
      <c r="BKZ1" s="84"/>
      <c r="BLA1" s="84"/>
      <c r="BLB1" s="84"/>
      <c r="BLC1" s="84"/>
      <c r="BLD1" s="84"/>
      <c r="BLE1" s="84"/>
      <c r="BLF1" s="84"/>
      <c r="BLG1" s="84"/>
      <c r="BLH1" s="84"/>
      <c r="BLI1" s="84"/>
      <c r="BLJ1" s="84"/>
      <c r="BLK1" s="84"/>
      <c r="BLL1" s="84"/>
      <c r="BLM1" s="84"/>
      <c r="BLN1" s="84"/>
      <c r="BLO1" s="84"/>
      <c r="BLP1" s="84"/>
      <c r="BLQ1" s="84"/>
      <c r="BLR1" s="84"/>
      <c r="BLS1" s="84"/>
      <c r="BLT1" s="84"/>
      <c r="BLU1" s="84"/>
      <c r="BLV1" s="84"/>
      <c r="BLW1" s="84"/>
      <c r="BLX1" s="84"/>
      <c r="BLY1" s="84"/>
      <c r="BLZ1" s="84"/>
      <c r="BMA1" s="84"/>
      <c r="BMB1" s="84"/>
      <c r="BMC1" s="84"/>
      <c r="BMD1" s="84"/>
      <c r="BME1" s="84"/>
      <c r="BMF1" s="84"/>
      <c r="BMG1" s="84"/>
      <c r="BMH1" s="84"/>
      <c r="BMI1" s="84"/>
      <c r="BMJ1" s="84"/>
      <c r="BMK1" s="84"/>
      <c r="BML1" s="84"/>
      <c r="BMM1" s="84"/>
      <c r="BMN1" s="84"/>
      <c r="BMO1" s="84"/>
      <c r="BMP1" s="84"/>
      <c r="BMQ1" s="84"/>
      <c r="BMR1" s="84"/>
      <c r="BMS1" s="84"/>
      <c r="BMT1" s="84"/>
      <c r="BMU1" s="84"/>
      <c r="BMV1" s="84"/>
      <c r="BMW1" s="84"/>
      <c r="BMX1" s="84"/>
      <c r="BMY1" s="84"/>
      <c r="BMZ1" s="84"/>
      <c r="BNA1" s="84"/>
      <c r="BNB1" s="84"/>
      <c r="BNC1" s="84"/>
      <c r="BND1" s="84"/>
      <c r="BNE1" s="84"/>
      <c r="BNF1" s="84"/>
      <c r="BNG1" s="84"/>
      <c r="BNH1" s="84"/>
      <c r="BNI1" s="84"/>
      <c r="BNJ1" s="84"/>
      <c r="BNK1" s="84"/>
      <c r="BNL1" s="84"/>
      <c r="BNM1" s="84"/>
      <c r="BNN1" s="84"/>
      <c r="BNO1" s="84"/>
      <c r="BNP1" s="84"/>
      <c r="BNQ1" s="84"/>
      <c r="BNR1" s="84"/>
      <c r="BNS1" s="84"/>
      <c r="BNT1" s="84"/>
      <c r="BNU1" s="84"/>
      <c r="BNV1" s="84"/>
      <c r="BNW1" s="84"/>
      <c r="BNX1" s="84"/>
      <c r="BNY1" s="84"/>
      <c r="BNZ1" s="84"/>
      <c r="BOA1" s="84"/>
      <c r="BOB1" s="84"/>
      <c r="BOC1" s="84"/>
      <c r="BOD1" s="84"/>
      <c r="BOE1" s="84"/>
      <c r="BOF1" s="84"/>
      <c r="BOG1" s="84"/>
      <c r="BOH1" s="84"/>
      <c r="BOI1" s="84"/>
      <c r="BOJ1" s="84"/>
      <c r="BOK1" s="84"/>
      <c r="BOL1" s="84"/>
      <c r="BOM1" s="84"/>
      <c r="BON1" s="84"/>
      <c r="BOO1" s="84"/>
      <c r="BOP1" s="84"/>
      <c r="BOQ1" s="84"/>
      <c r="BOR1" s="84"/>
      <c r="BOS1" s="84"/>
      <c r="BOT1" s="84"/>
      <c r="BOU1" s="84"/>
      <c r="BOV1" s="84"/>
      <c r="BOW1" s="84"/>
      <c r="BOX1" s="84"/>
      <c r="BOY1" s="84"/>
      <c r="BOZ1" s="84"/>
      <c r="BPA1" s="84"/>
      <c r="BPB1" s="84"/>
      <c r="BPC1" s="84"/>
      <c r="BPD1" s="84"/>
      <c r="BPE1" s="84"/>
      <c r="BPF1" s="84"/>
      <c r="BPG1" s="84"/>
      <c r="BPH1" s="84"/>
      <c r="BPI1" s="84"/>
      <c r="BPJ1" s="84"/>
      <c r="BPK1" s="84"/>
      <c r="BPL1" s="84"/>
      <c r="BPM1" s="84"/>
      <c r="BPN1" s="84"/>
      <c r="BPO1" s="84"/>
      <c r="BPP1" s="84"/>
      <c r="BPQ1" s="84"/>
      <c r="BPR1" s="84"/>
      <c r="BPS1" s="84"/>
      <c r="BPT1" s="84"/>
      <c r="BPU1" s="84"/>
      <c r="BPV1" s="84"/>
      <c r="BPW1" s="84"/>
      <c r="BPX1" s="84"/>
      <c r="BPY1" s="84"/>
      <c r="BPZ1" s="84"/>
      <c r="BQA1" s="84"/>
      <c r="BQB1" s="84"/>
      <c r="BQC1" s="84"/>
      <c r="BQD1" s="84"/>
      <c r="BQE1" s="84"/>
      <c r="BQF1" s="84"/>
      <c r="BQG1" s="84"/>
      <c r="BQH1" s="84"/>
      <c r="BQI1" s="84"/>
      <c r="BQJ1" s="84"/>
      <c r="BQK1" s="84"/>
      <c r="BQL1" s="84"/>
      <c r="BQM1" s="84"/>
      <c r="BQN1" s="84"/>
      <c r="BQO1" s="84"/>
      <c r="BQP1" s="84"/>
      <c r="BQQ1" s="84"/>
      <c r="BQR1" s="84"/>
      <c r="BQS1" s="84"/>
      <c r="BQT1" s="84"/>
      <c r="BQU1" s="84"/>
      <c r="BQV1" s="84"/>
      <c r="BQW1" s="84"/>
      <c r="BQX1" s="84"/>
      <c r="BQY1" s="84"/>
      <c r="BQZ1" s="84"/>
      <c r="BRA1" s="84"/>
      <c r="BRB1" s="84"/>
      <c r="BRC1" s="84"/>
      <c r="BRD1" s="84"/>
      <c r="BRE1" s="84"/>
      <c r="BRF1" s="84"/>
      <c r="BRG1" s="84"/>
      <c r="BRH1" s="84"/>
      <c r="BRI1" s="84"/>
      <c r="BRJ1" s="84"/>
      <c r="BRK1" s="84"/>
      <c r="BRL1" s="84"/>
      <c r="BRM1" s="84"/>
      <c r="BRN1" s="84"/>
      <c r="BRO1" s="84"/>
      <c r="BRP1" s="84"/>
      <c r="BRQ1" s="84"/>
      <c r="BRR1" s="84"/>
      <c r="BRS1" s="84"/>
      <c r="BRT1" s="84"/>
      <c r="BRU1" s="84"/>
      <c r="BRV1" s="84"/>
      <c r="BRW1" s="84"/>
      <c r="BRX1" s="84"/>
      <c r="BRY1" s="84"/>
      <c r="BRZ1" s="84"/>
      <c r="BSA1" s="84"/>
      <c r="BSB1" s="84"/>
      <c r="BSC1" s="84"/>
      <c r="BSD1" s="84"/>
      <c r="BSE1" s="84"/>
      <c r="BSF1" s="84"/>
      <c r="BSG1" s="84"/>
      <c r="BSH1" s="84"/>
      <c r="BSI1" s="84"/>
      <c r="BSJ1" s="84"/>
      <c r="BSK1" s="84"/>
      <c r="BSL1" s="84"/>
      <c r="BSM1" s="84"/>
      <c r="BSN1" s="84"/>
      <c r="BSO1" s="84"/>
      <c r="BSP1" s="84"/>
      <c r="BSQ1" s="84"/>
      <c r="BSR1" s="84"/>
      <c r="BSS1" s="84"/>
      <c r="BST1" s="84"/>
      <c r="BSU1" s="84"/>
      <c r="BSV1" s="84"/>
      <c r="BSW1" s="84"/>
      <c r="BSX1" s="84"/>
      <c r="BSY1" s="84"/>
      <c r="BSZ1" s="84"/>
      <c r="BTA1" s="84"/>
      <c r="BTB1" s="84"/>
      <c r="BTC1" s="84"/>
      <c r="BTD1" s="84"/>
      <c r="BTE1" s="84"/>
      <c r="BTF1" s="84"/>
      <c r="BTG1" s="84"/>
      <c r="BTH1" s="84"/>
      <c r="BTI1" s="84"/>
      <c r="BTJ1" s="84"/>
      <c r="BTK1" s="84"/>
      <c r="BTL1" s="84"/>
      <c r="BTM1" s="84"/>
      <c r="BTN1" s="84"/>
      <c r="BTO1" s="84"/>
      <c r="BTP1" s="84"/>
      <c r="BTQ1" s="84"/>
      <c r="BTR1" s="84"/>
      <c r="BTS1" s="84"/>
      <c r="BTT1" s="84"/>
      <c r="BTU1" s="84"/>
      <c r="BTV1" s="84"/>
      <c r="BTW1" s="84"/>
      <c r="BTX1" s="84"/>
      <c r="BTY1" s="84"/>
      <c r="BTZ1" s="84"/>
      <c r="BUA1" s="84"/>
      <c r="BUB1" s="84"/>
      <c r="BUC1" s="84"/>
      <c r="BUD1" s="84"/>
      <c r="BUE1" s="84"/>
      <c r="BUF1" s="84"/>
      <c r="BUG1" s="84"/>
      <c r="BUH1" s="84"/>
      <c r="BUI1" s="84"/>
      <c r="BUJ1" s="84"/>
      <c r="BUK1" s="84"/>
      <c r="BUL1" s="84"/>
      <c r="BUM1" s="84"/>
      <c r="BUN1" s="84"/>
      <c r="BUO1" s="84"/>
      <c r="BUP1" s="84"/>
      <c r="BUQ1" s="84"/>
      <c r="BUR1" s="84"/>
      <c r="BUS1" s="84"/>
      <c r="BUT1" s="84"/>
      <c r="BUU1" s="84"/>
      <c r="BUV1" s="84"/>
      <c r="BUW1" s="84"/>
      <c r="BUX1" s="84"/>
      <c r="BUY1" s="84"/>
      <c r="BUZ1" s="84"/>
      <c r="BVA1" s="84"/>
      <c r="BVB1" s="84"/>
      <c r="BVC1" s="84"/>
      <c r="BVD1" s="84"/>
      <c r="BVE1" s="84"/>
      <c r="BVF1" s="84"/>
      <c r="BVG1" s="84"/>
      <c r="BVH1" s="84"/>
      <c r="BVI1" s="84"/>
      <c r="BVJ1" s="84"/>
      <c r="BVK1" s="84"/>
      <c r="BVL1" s="84"/>
      <c r="BVM1" s="84"/>
      <c r="BVN1" s="84"/>
      <c r="BVO1" s="84"/>
      <c r="BVP1" s="84"/>
      <c r="BVQ1" s="84"/>
      <c r="BVR1" s="84"/>
      <c r="BVS1" s="84"/>
      <c r="BVT1" s="84"/>
      <c r="BVU1" s="84"/>
      <c r="BVV1" s="84"/>
      <c r="BVW1" s="84"/>
      <c r="BVX1" s="84"/>
      <c r="BVY1" s="84"/>
      <c r="BVZ1" s="84"/>
      <c r="BWA1" s="84"/>
      <c r="BWB1" s="84"/>
      <c r="BWC1" s="84"/>
      <c r="BWD1" s="84"/>
      <c r="BWE1" s="84"/>
      <c r="BWF1" s="84"/>
      <c r="BWG1" s="84"/>
      <c r="BWH1" s="84"/>
      <c r="BWI1" s="84"/>
      <c r="BWJ1" s="84"/>
      <c r="BWK1" s="84"/>
      <c r="BWL1" s="84"/>
      <c r="BWM1" s="84"/>
      <c r="BWN1" s="84"/>
      <c r="BWO1" s="84"/>
      <c r="BWP1" s="84"/>
      <c r="BWQ1" s="84"/>
      <c r="BWR1" s="84"/>
      <c r="BWS1" s="84"/>
      <c r="BWT1" s="84"/>
      <c r="BWU1" s="84"/>
      <c r="BWV1" s="84"/>
      <c r="BWW1" s="84"/>
      <c r="BWX1" s="84"/>
      <c r="BWY1" s="84"/>
      <c r="BWZ1" s="84"/>
      <c r="BXA1" s="84"/>
      <c r="BXB1" s="84"/>
      <c r="BXC1" s="84"/>
      <c r="BXD1" s="84"/>
      <c r="BXE1" s="84"/>
      <c r="BXF1" s="84"/>
      <c r="BXG1" s="84"/>
      <c r="BXH1" s="84"/>
      <c r="BXI1" s="84"/>
      <c r="BXJ1" s="84"/>
      <c r="BXK1" s="84"/>
      <c r="BXL1" s="84"/>
      <c r="BXM1" s="84"/>
      <c r="BXN1" s="84"/>
      <c r="BXO1" s="84"/>
      <c r="BXP1" s="84"/>
      <c r="BXQ1" s="84"/>
      <c r="BXR1" s="84"/>
      <c r="BXS1" s="84"/>
      <c r="BXT1" s="84"/>
      <c r="BXU1" s="84"/>
      <c r="BXV1" s="84"/>
      <c r="BXW1" s="84"/>
      <c r="BXX1" s="84"/>
      <c r="BXY1" s="84"/>
      <c r="BXZ1" s="84"/>
      <c r="BYA1" s="84"/>
      <c r="BYB1" s="84"/>
      <c r="BYC1" s="84"/>
      <c r="BYD1" s="84"/>
      <c r="BYE1" s="84"/>
      <c r="BYF1" s="84"/>
      <c r="BYG1" s="84"/>
      <c r="BYH1" s="84"/>
      <c r="BYI1" s="84"/>
      <c r="BYJ1" s="84"/>
      <c r="BYK1" s="84"/>
      <c r="BYL1" s="84"/>
      <c r="BYM1" s="84"/>
      <c r="BYN1" s="84"/>
      <c r="BYO1" s="84"/>
      <c r="BYP1" s="84"/>
      <c r="BYQ1" s="84"/>
      <c r="BYR1" s="84"/>
      <c r="BYS1" s="84"/>
      <c r="BYT1" s="84"/>
      <c r="BYU1" s="84"/>
      <c r="BYV1" s="84"/>
      <c r="BYW1" s="84"/>
      <c r="BYX1" s="84"/>
      <c r="BYY1" s="84"/>
      <c r="BYZ1" s="84"/>
      <c r="BZA1" s="84"/>
      <c r="BZB1" s="84"/>
      <c r="BZC1" s="84"/>
      <c r="BZD1" s="84"/>
      <c r="BZE1" s="84"/>
      <c r="BZF1" s="84"/>
      <c r="BZG1" s="84"/>
      <c r="BZH1" s="84"/>
      <c r="BZI1" s="84"/>
      <c r="BZJ1" s="84"/>
      <c r="BZK1" s="84"/>
      <c r="BZL1" s="84"/>
      <c r="BZM1" s="84"/>
      <c r="BZN1" s="84"/>
      <c r="BZO1" s="84"/>
      <c r="BZP1" s="84"/>
      <c r="BZQ1" s="84"/>
      <c r="BZR1" s="84"/>
      <c r="BZS1" s="84"/>
      <c r="BZT1" s="84"/>
      <c r="BZU1" s="84"/>
      <c r="BZV1" s="84"/>
      <c r="BZW1" s="84"/>
      <c r="BZX1" s="84"/>
      <c r="BZY1" s="84"/>
      <c r="BZZ1" s="84"/>
      <c r="CAA1" s="84"/>
      <c r="CAB1" s="84"/>
      <c r="CAC1" s="84"/>
      <c r="CAD1" s="84"/>
      <c r="CAE1" s="84"/>
      <c r="CAF1" s="84"/>
      <c r="CAG1" s="84"/>
      <c r="CAH1" s="84"/>
      <c r="CAI1" s="84"/>
      <c r="CAJ1" s="84"/>
      <c r="CAK1" s="84"/>
      <c r="CAL1" s="84"/>
      <c r="CAM1" s="84"/>
      <c r="CAN1" s="84"/>
      <c r="CAO1" s="84"/>
      <c r="CAP1" s="84"/>
      <c r="CAQ1" s="84"/>
      <c r="CAR1" s="84"/>
      <c r="CAS1" s="84"/>
      <c r="CAT1" s="84"/>
      <c r="CAU1" s="84"/>
      <c r="CAV1" s="84"/>
      <c r="CAW1" s="84"/>
      <c r="CAX1" s="84"/>
      <c r="CAY1" s="84"/>
      <c r="CAZ1" s="84"/>
      <c r="CBA1" s="84"/>
      <c r="CBB1" s="84"/>
      <c r="CBC1" s="84"/>
      <c r="CBD1" s="84"/>
      <c r="CBE1" s="84"/>
      <c r="CBF1" s="84"/>
      <c r="CBG1" s="84"/>
      <c r="CBH1" s="84"/>
      <c r="CBI1" s="84"/>
      <c r="CBJ1" s="84"/>
      <c r="CBK1" s="84"/>
      <c r="CBL1" s="84"/>
      <c r="CBM1" s="84"/>
      <c r="CBN1" s="84"/>
      <c r="CBO1" s="84"/>
      <c r="CBP1" s="84"/>
      <c r="CBQ1" s="84"/>
      <c r="CBR1" s="84"/>
      <c r="CBS1" s="84"/>
      <c r="CBT1" s="84"/>
      <c r="CBU1" s="84"/>
      <c r="CBV1" s="84"/>
      <c r="CBW1" s="84"/>
      <c r="CBX1" s="84"/>
      <c r="CBY1" s="84"/>
      <c r="CBZ1" s="84"/>
      <c r="CCA1" s="84"/>
      <c r="CCB1" s="84"/>
      <c r="CCC1" s="84"/>
      <c r="CCD1" s="84"/>
      <c r="CCE1" s="84"/>
      <c r="CCF1" s="84"/>
      <c r="CCG1" s="84"/>
      <c r="CCH1" s="84"/>
      <c r="CCI1" s="84"/>
      <c r="CCJ1" s="84"/>
      <c r="CCK1" s="84"/>
      <c r="CCL1" s="84"/>
      <c r="CCM1" s="84"/>
      <c r="CCN1" s="84"/>
      <c r="CCO1" s="84"/>
      <c r="CCP1" s="84"/>
      <c r="CCQ1" s="84"/>
      <c r="CCR1" s="84"/>
      <c r="CCS1" s="84"/>
      <c r="CCT1" s="84"/>
      <c r="CCU1" s="84"/>
      <c r="CCV1" s="84"/>
      <c r="CCW1" s="84"/>
      <c r="CCX1" s="84"/>
      <c r="CCY1" s="84"/>
      <c r="CCZ1" s="84"/>
      <c r="CDA1" s="84"/>
      <c r="CDB1" s="84"/>
      <c r="CDC1" s="84"/>
      <c r="CDD1" s="84"/>
      <c r="CDE1" s="84"/>
      <c r="CDF1" s="84"/>
      <c r="CDG1" s="84"/>
      <c r="CDH1" s="84"/>
      <c r="CDI1" s="84"/>
      <c r="CDJ1" s="84"/>
      <c r="CDK1" s="84"/>
      <c r="CDL1" s="84"/>
      <c r="CDM1" s="84"/>
      <c r="CDN1" s="84"/>
      <c r="CDO1" s="84"/>
      <c r="CDP1" s="84"/>
      <c r="CDQ1" s="84"/>
      <c r="CDR1" s="84"/>
      <c r="CDS1" s="84"/>
      <c r="CDT1" s="84"/>
      <c r="CDU1" s="84"/>
      <c r="CDV1" s="84"/>
      <c r="CDW1" s="84"/>
      <c r="CDX1" s="84"/>
      <c r="CDY1" s="84"/>
      <c r="CDZ1" s="84"/>
      <c r="CEA1" s="84"/>
      <c r="CEB1" s="84"/>
      <c r="CEC1" s="84"/>
      <c r="CED1" s="84"/>
      <c r="CEE1" s="84"/>
      <c r="CEF1" s="84"/>
      <c r="CEG1" s="84"/>
      <c r="CEH1" s="84"/>
      <c r="CEI1" s="84"/>
      <c r="CEJ1" s="84"/>
      <c r="CEK1" s="84"/>
      <c r="CEL1" s="84"/>
      <c r="CEM1" s="84"/>
      <c r="CEN1" s="84"/>
      <c r="CEO1" s="84"/>
      <c r="CEP1" s="84"/>
      <c r="CEQ1" s="84"/>
      <c r="CER1" s="84"/>
      <c r="CES1" s="84"/>
      <c r="CET1" s="84"/>
      <c r="CEU1" s="84"/>
      <c r="CEV1" s="84"/>
      <c r="CEW1" s="84"/>
      <c r="CEX1" s="84"/>
      <c r="CEY1" s="84"/>
      <c r="CEZ1" s="84"/>
      <c r="CFA1" s="84"/>
      <c r="CFB1" s="84"/>
      <c r="CFC1" s="84"/>
      <c r="CFD1" s="84"/>
      <c r="CFE1" s="84"/>
      <c r="CFF1" s="84"/>
      <c r="CFG1" s="84"/>
      <c r="CFH1" s="84"/>
      <c r="CFI1" s="84"/>
      <c r="CFJ1" s="84"/>
      <c r="CFK1" s="84"/>
      <c r="CFL1" s="84"/>
      <c r="CFM1" s="84"/>
      <c r="CFN1" s="84"/>
      <c r="CFO1" s="84"/>
      <c r="CFP1" s="84"/>
      <c r="CFQ1" s="84"/>
      <c r="CFR1" s="84"/>
      <c r="CFS1" s="84"/>
      <c r="CFT1" s="84"/>
      <c r="CFU1" s="84"/>
      <c r="CFV1" s="84"/>
      <c r="CFW1" s="84"/>
      <c r="CFX1" s="84"/>
      <c r="CFY1" s="84"/>
      <c r="CFZ1" s="84"/>
      <c r="CGA1" s="84"/>
      <c r="CGB1" s="84"/>
      <c r="CGC1" s="84"/>
      <c r="CGD1" s="84"/>
      <c r="CGE1" s="84"/>
      <c r="CGF1" s="84"/>
      <c r="CGG1" s="84"/>
      <c r="CGH1" s="84"/>
      <c r="CGI1" s="84"/>
      <c r="CGJ1" s="84"/>
      <c r="CGK1" s="84"/>
      <c r="CGL1" s="84"/>
      <c r="CGM1" s="84"/>
      <c r="CGN1" s="84"/>
      <c r="CGO1" s="84"/>
      <c r="CGP1" s="84"/>
      <c r="CGQ1" s="84"/>
      <c r="CGR1" s="84"/>
      <c r="CGS1" s="84"/>
      <c r="CGT1" s="84"/>
      <c r="CGU1" s="84"/>
      <c r="CGV1" s="84"/>
      <c r="CGW1" s="84"/>
      <c r="CGX1" s="84"/>
      <c r="CGY1" s="84"/>
      <c r="CGZ1" s="84"/>
      <c r="CHA1" s="84"/>
      <c r="CHB1" s="84"/>
      <c r="CHC1" s="84"/>
      <c r="CHD1" s="84"/>
      <c r="CHE1" s="84"/>
      <c r="CHF1" s="84"/>
      <c r="CHG1" s="84"/>
      <c r="CHH1" s="84"/>
      <c r="CHI1" s="84"/>
      <c r="CHJ1" s="84"/>
      <c r="CHK1" s="84"/>
      <c r="CHL1" s="84"/>
      <c r="CHM1" s="84"/>
      <c r="CHN1" s="84"/>
      <c r="CHO1" s="84"/>
      <c r="CHP1" s="84"/>
      <c r="CHQ1" s="84"/>
      <c r="CHR1" s="84"/>
      <c r="CHS1" s="84"/>
      <c r="CHT1" s="84"/>
      <c r="CHU1" s="84"/>
      <c r="CHV1" s="84"/>
      <c r="CHW1" s="84"/>
      <c r="CHX1" s="84"/>
      <c r="CHY1" s="84"/>
      <c r="CHZ1" s="84"/>
      <c r="CIA1" s="84"/>
      <c r="CIB1" s="84"/>
      <c r="CIC1" s="84"/>
      <c r="CID1" s="84"/>
      <c r="CIE1" s="84"/>
      <c r="CIF1" s="84"/>
      <c r="CIG1" s="84"/>
      <c r="CIH1" s="84"/>
      <c r="CII1" s="84"/>
      <c r="CIJ1" s="84"/>
      <c r="CIK1" s="84"/>
      <c r="CIL1" s="84"/>
      <c r="CIM1" s="84"/>
      <c r="CIN1" s="84"/>
      <c r="CIO1" s="84"/>
      <c r="CIP1" s="84"/>
      <c r="CIQ1" s="84"/>
      <c r="CIR1" s="84"/>
      <c r="CIS1" s="84"/>
      <c r="CIT1" s="84"/>
      <c r="CIU1" s="84"/>
      <c r="CIV1" s="84"/>
      <c r="CIW1" s="84"/>
      <c r="CIX1" s="84"/>
      <c r="CIY1" s="84"/>
      <c r="CIZ1" s="84"/>
      <c r="CJA1" s="84"/>
      <c r="CJB1" s="84"/>
      <c r="CJC1" s="84"/>
      <c r="CJD1" s="84"/>
      <c r="CJE1" s="84"/>
      <c r="CJF1" s="84"/>
      <c r="CJG1" s="84"/>
      <c r="CJH1" s="84"/>
      <c r="CJI1" s="84"/>
      <c r="CJJ1" s="84"/>
      <c r="CJK1" s="84"/>
      <c r="CJL1" s="84"/>
      <c r="CJM1" s="84"/>
      <c r="CJN1" s="84"/>
      <c r="CJO1" s="84"/>
      <c r="CJP1" s="84"/>
      <c r="CJQ1" s="84"/>
      <c r="CJR1" s="84"/>
      <c r="CJS1" s="84"/>
      <c r="CJT1" s="84"/>
      <c r="CJU1" s="84"/>
      <c r="CJV1" s="84"/>
      <c r="CJW1" s="84"/>
      <c r="CJX1" s="84"/>
      <c r="CJY1" s="84"/>
      <c r="CJZ1" s="84"/>
      <c r="CKA1" s="84"/>
      <c r="CKB1" s="84"/>
      <c r="CKC1" s="84"/>
      <c r="CKD1" s="84"/>
      <c r="CKE1" s="84"/>
      <c r="CKF1" s="84"/>
      <c r="CKG1" s="84"/>
      <c r="CKH1" s="84"/>
      <c r="CKI1" s="84"/>
      <c r="CKJ1" s="84"/>
      <c r="CKK1" s="84"/>
      <c r="CKL1" s="84"/>
      <c r="CKM1" s="84"/>
      <c r="CKN1" s="84"/>
      <c r="CKO1" s="84"/>
      <c r="CKP1" s="84"/>
      <c r="CKQ1" s="84"/>
      <c r="CKR1" s="84"/>
      <c r="CKS1" s="84"/>
      <c r="CKT1" s="84"/>
      <c r="CKU1" s="84"/>
      <c r="CKV1" s="84"/>
      <c r="CKW1" s="84"/>
      <c r="CKX1" s="84"/>
      <c r="CKY1" s="84"/>
      <c r="CKZ1" s="84"/>
      <c r="CLA1" s="84"/>
      <c r="CLB1" s="84"/>
      <c r="CLC1" s="84"/>
      <c r="CLD1" s="84"/>
      <c r="CLE1" s="84"/>
      <c r="CLF1" s="84"/>
      <c r="CLG1" s="84"/>
      <c r="CLH1" s="84"/>
      <c r="CLI1" s="84"/>
      <c r="CLJ1" s="84"/>
      <c r="CLK1" s="84"/>
      <c r="CLL1" s="84"/>
      <c r="CLM1" s="84"/>
      <c r="CLN1" s="84"/>
      <c r="CLO1" s="84"/>
      <c r="CLP1" s="84"/>
      <c r="CLQ1" s="84"/>
      <c r="CLR1" s="84"/>
      <c r="CLS1" s="84"/>
      <c r="CLT1" s="84"/>
      <c r="CLU1" s="84"/>
      <c r="CLV1" s="84"/>
      <c r="CLW1" s="84"/>
      <c r="CLX1" s="84"/>
      <c r="CLY1" s="84"/>
      <c r="CLZ1" s="84"/>
      <c r="CMA1" s="84"/>
      <c r="CMB1" s="84"/>
      <c r="CMC1" s="84"/>
      <c r="CMD1" s="84"/>
      <c r="CME1" s="84"/>
      <c r="CMF1" s="84"/>
      <c r="CMG1" s="84"/>
      <c r="CMH1" s="84"/>
      <c r="CMI1" s="84"/>
      <c r="CMJ1" s="84"/>
      <c r="CMK1" s="84"/>
      <c r="CML1" s="84"/>
      <c r="CMM1" s="84"/>
      <c r="CMN1" s="84"/>
      <c r="CMO1" s="84"/>
      <c r="CMP1" s="84"/>
      <c r="CMQ1" s="84"/>
      <c r="CMR1" s="84"/>
      <c r="CMS1" s="84"/>
      <c r="CMT1" s="84"/>
      <c r="CMU1" s="84"/>
      <c r="CMV1" s="84"/>
      <c r="CMW1" s="84"/>
      <c r="CMX1" s="84"/>
      <c r="CMY1" s="84"/>
      <c r="CMZ1" s="84"/>
      <c r="CNA1" s="84"/>
      <c r="CNB1" s="84"/>
      <c r="CNC1" s="84"/>
      <c r="CND1" s="84"/>
      <c r="CNE1" s="84"/>
      <c r="CNF1" s="84"/>
      <c r="CNG1" s="84"/>
      <c r="CNH1" s="84"/>
      <c r="CNI1" s="84"/>
      <c r="CNJ1" s="84"/>
      <c r="CNK1" s="84"/>
      <c r="CNL1" s="84"/>
      <c r="CNM1" s="84"/>
      <c r="CNN1" s="84"/>
      <c r="CNO1" s="84"/>
      <c r="CNP1" s="84"/>
      <c r="CNQ1" s="84"/>
      <c r="CNR1" s="84"/>
      <c r="CNS1" s="84"/>
      <c r="CNT1" s="84"/>
      <c r="CNU1" s="84"/>
      <c r="CNV1" s="84"/>
      <c r="CNW1" s="84"/>
      <c r="CNX1" s="84"/>
      <c r="CNY1" s="84"/>
      <c r="CNZ1" s="84"/>
      <c r="COA1" s="84"/>
      <c r="COB1" s="84"/>
      <c r="COC1" s="84"/>
      <c r="COD1" s="84"/>
      <c r="COE1" s="84"/>
      <c r="COF1" s="84"/>
      <c r="COG1" s="84"/>
      <c r="COH1" s="84"/>
      <c r="COI1" s="84"/>
      <c r="COJ1" s="84"/>
      <c r="COK1" s="84"/>
      <c r="COL1" s="84"/>
      <c r="COM1" s="84"/>
      <c r="CON1" s="84"/>
      <c r="COO1" s="84"/>
      <c r="COP1" s="84"/>
      <c r="COQ1" s="84"/>
      <c r="COR1" s="84"/>
      <c r="COS1" s="84"/>
      <c r="COT1" s="84"/>
      <c r="COU1" s="84"/>
      <c r="COV1" s="84"/>
      <c r="COW1" s="84"/>
      <c r="COX1" s="84"/>
      <c r="COY1" s="84"/>
      <c r="COZ1" s="84"/>
      <c r="CPA1" s="84"/>
      <c r="CPB1" s="84"/>
      <c r="CPC1" s="84"/>
      <c r="CPD1" s="84"/>
      <c r="CPE1" s="84"/>
      <c r="CPF1" s="84"/>
      <c r="CPG1" s="84"/>
      <c r="CPH1" s="84"/>
      <c r="CPI1" s="84"/>
      <c r="CPJ1" s="84"/>
      <c r="CPK1" s="84"/>
      <c r="CPL1" s="84"/>
      <c r="CPM1" s="84"/>
      <c r="CPN1" s="84"/>
      <c r="CPO1" s="84"/>
      <c r="CPP1" s="84"/>
      <c r="CPQ1" s="84"/>
      <c r="CPR1" s="84"/>
      <c r="CPS1" s="84"/>
      <c r="CPT1" s="84"/>
      <c r="CPU1" s="84"/>
      <c r="CPV1" s="84"/>
      <c r="CPW1" s="84"/>
      <c r="CPX1" s="84"/>
      <c r="CPY1" s="84"/>
      <c r="CPZ1" s="84"/>
      <c r="CQA1" s="84"/>
      <c r="CQB1" s="84"/>
      <c r="CQC1" s="84"/>
      <c r="CQD1" s="84"/>
      <c r="CQE1" s="84"/>
      <c r="CQF1" s="84"/>
      <c r="CQG1" s="84"/>
      <c r="CQH1" s="84"/>
      <c r="CQI1" s="84"/>
      <c r="CQJ1" s="84"/>
      <c r="CQK1" s="84"/>
      <c r="CQL1" s="84"/>
      <c r="CQM1" s="84"/>
      <c r="CQN1" s="84"/>
      <c r="CQO1" s="84"/>
      <c r="CQP1" s="84"/>
      <c r="CQQ1" s="84"/>
      <c r="CQR1" s="84"/>
      <c r="CQS1" s="84"/>
      <c r="CQT1" s="84"/>
      <c r="CQU1" s="84"/>
      <c r="CQV1" s="84"/>
      <c r="CQW1" s="84"/>
      <c r="CQX1" s="84"/>
      <c r="CQY1" s="84"/>
      <c r="CQZ1" s="84"/>
      <c r="CRA1" s="84"/>
      <c r="CRB1" s="84"/>
      <c r="CRC1" s="84"/>
      <c r="CRD1" s="84"/>
      <c r="CRE1" s="84"/>
      <c r="CRF1" s="84"/>
      <c r="CRG1" s="84"/>
      <c r="CRH1" s="84"/>
      <c r="CRI1" s="84"/>
      <c r="CRJ1" s="84"/>
      <c r="CRK1" s="84"/>
      <c r="CRL1" s="84"/>
      <c r="CRM1" s="84"/>
      <c r="CRN1" s="84"/>
      <c r="CRO1" s="84"/>
      <c r="CRP1" s="84"/>
      <c r="CRQ1" s="84"/>
      <c r="CRR1" s="84"/>
      <c r="CRS1" s="84"/>
      <c r="CRT1" s="84"/>
      <c r="CRU1" s="84"/>
      <c r="CRV1" s="84"/>
      <c r="CRW1" s="84"/>
      <c r="CRX1" s="84"/>
      <c r="CRY1" s="84"/>
      <c r="CRZ1" s="84"/>
      <c r="CSA1" s="84"/>
      <c r="CSB1" s="84"/>
      <c r="CSC1" s="84"/>
      <c r="CSD1" s="84"/>
      <c r="CSE1" s="84"/>
      <c r="CSF1" s="84"/>
      <c r="CSG1" s="84"/>
      <c r="CSH1" s="84"/>
      <c r="CSI1" s="84"/>
      <c r="CSJ1" s="84"/>
      <c r="CSK1" s="84"/>
      <c r="CSL1" s="84"/>
      <c r="CSM1" s="84"/>
      <c r="CSN1" s="84"/>
      <c r="CSO1" s="84"/>
      <c r="CSP1" s="84"/>
      <c r="CSQ1" s="84"/>
      <c r="CSR1" s="84"/>
      <c r="CSS1" s="84"/>
      <c r="CST1" s="84"/>
      <c r="CSU1" s="84"/>
      <c r="CSV1" s="84"/>
      <c r="CSW1" s="84"/>
      <c r="CSX1" s="84"/>
      <c r="CSY1" s="84"/>
      <c r="CSZ1" s="84"/>
      <c r="CTA1" s="84"/>
      <c r="CTB1" s="84"/>
      <c r="CTC1" s="84"/>
      <c r="CTD1" s="84"/>
      <c r="CTE1" s="84"/>
      <c r="CTF1" s="84"/>
      <c r="CTG1" s="84"/>
      <c r="CTH1" s="84"/>
      <c r="CTI1" s="84"/>
      <c r="CTJ1" s="84"/>
      <c r="CTK1" s="84"/>
      <c r="CTL1" s="84"/>
      <c r="CTM1" s="84"/>
      <c r="CTN1" s="84"/>
      <c r="CTO1" s="84"/>
      <c r="CTP1" s="84"/>
      <c r="CTQ1" s="84"/>
      <c r="CTR1" s="84"/>
      <c r="CTS1" s="84"/>
      <c r="CTT1" s="84"/>
      <c r="CTU1" s="84"/>
      <c r="CTV1" s="84"/>
      <c r="CTW1" s="84"/>
      <c r="CTX1" s="84"/>
      <c r="CTY1" s="84"/>
      <c r="CTZ1" s="84"/>
      <c r="CUA1" s="84"/>
      <c r="CUB1" s="84"/>
      <c r="CUC1" s="84"/>
      <c r="CUD1" s="84"/>
      <c r="CUE1" s="84"/>
      <c r="CUF1" s="84"/>
      <c r="CUG1" s="84"/>
      <c r="CUH1" s="84"/>
      <c r="CUI1" s="84"/>
      <c r="CUJ1" s="84"/>
      <c r="CUK1" s="84"/>
      <c r="CUL1" s="84"/>
      <c r="CUM1" s="84"/>
      <c r="CUN1" s="84"/>
      <c r="CUO1" s="84"/>
      <c r="CUP1" s="84"/>
      <c r="CUQ1" s="84"/>
      <c r="CUR1" s="84"/>
      <c r="CUS1" s="84"/>
      <c r="CUT1" s="84"/>
      <c r="CUU1" s="84"/>
      <c r="CUV1" s="84"/>
      <c r="CUW1" s="84"/>
      <c r="CUX1" s="84"/>
      <c r="CUY1" s="84"/>
      <c r="CUZ1" s="84"/>
      <c r="CVA1" s="84"/>
      <c r="CVB1" s="84"/>
      <c r="CVC1" s="84"/>
      <c r="CVD1" s="84"/>
      <c r="CVE1" s="84"/>
      <c r="CVF1" s="84"/>
      <c r="CVG1" s="84"/>
      <c r="CVH1" s="84"/>
      <c r="CVI1" s="84"/>
      <c r="CVJ1" s="84"/>
      <c r="CVK1" s="84"/>
      <c r="CVL1" s="84"/>
      <c r="CVM1" s="84"/>
      <c r="CVN1" s="84"/>
      <c r="CVO1" s="84"/>
      <c r="CVP1" s="84"/>
      <c r="CVQ1" s="84"/>
      <c r="CVR1" s="84"/>
      <c r="CVS1" s="84"/>
      <c r="CVT1" s="84"/>
      <c r="CVU1" s="84"/>
      <c r="CVV1" s="84"/>
      <c r="CVW1" s="84"/>
      <c r="CVX1" s="84"/>
      <c r="CVY1" s="84"/>
      <c r="CVZ1" s="84"/>
      <c r="CWA1" s="84"/>
      <c r="CWB1" s="84"/>
      <c r="CWC1" s="84"/>
      <c r="CWD1" s="84"/>
      <c r="CWE1" s="84"/>
      <c r="CWF1" s="84"/>
      <c r="CWG1" s="84"/>
      <c r="CWH1" s="84"/>
      <c r="CWI1" s="84"/>
      <c r="CWJ1" s="84"/>
      <c r="CWK1" s="84"/>
      <c r="CWL1" s="84"/>
      <c r="CWM1" s="84"/>
      <c r="CWN1" s="84"/>
      <c r="CWO1" s="84"/>
      <c r="CWP1" s="84"/>
      <c r="CWQ1" s="84"/>
      <c r="CWR1" s="84"/>
      <c r="CWS1" s="84"/>
      <c r="CWT1" s="84"/>
      <c r="CWU1" s="84"/>
      <c r="CWV1" s="84"/>
      <c r="CWW1" s="84"/>
      <c r="CWX1" s="84"/>
      <c r="CWY1" s="84"/>
      <c r="CWZ1" s="84"/>
      <c r="CXA1" s="84"/>
      <c r="CXB1" s="84"/>
      <c r="CXC1" s="84"/>
      <c r="CXD1" s="84"/>
      <c r="CXE1" s="84"/>
      <c r="CXF1" s="84"/>
      <c r="CXG1" s="84"/>
      <c r="CXH1" s="84"/>
      <c r="CXI1" s="84"/>
      <c r="CXJ1" s="84"/>
      <c r="CXK1" s="84"/>
      <c r="CXL1" s="84"/>
      <c r="CXM1" s="84"/>
      <c r="CXN1" s="84"/>
      <c r="CXO1" s="84"/>
      <c r="CXP1" s="84"/>
      <c r="CXQ1" s="84"/>
      <c r="CXR1" s="84"/>
      <c r="CXS1" s="84"/>
      <c r="CXT1" s="84"/>
      <c r="CXU1" s="84"/>
      <c r="CXV1" s="84"/>
      <c r="CXW1" s="84"/>
      <c r="CXX1" s="84"/>
      <c r="CXY1" s="84"/>
      <c r="CXZ1" s="84"/>
      <c r="CYA1" s="84"/>
      <c r="CYB1" s="84"/>
      <c r="CYC1" s="84"/>
      <c r="CYD1" s="84"/>
      <c r="CYE1" s="84"/>
      <c r="CYF1" s="84"/>
      <c r="CYG1" s="84"/>
      <c r="CYH1" s="84"/>
      <c r="CYI1" s="84"/>
      <c r="CYJ1" s="84"/>
      <c r="CYK1" s="84"/>
      <c r="CYL1" s="84"/>
      <c r="CYM1" s="84"/>
      <c r="CYN1" s="84"/>
      <c r="CYO1" s="84"/>
      <c r="CYP1" s="84"/>
      <c r="CYQ1" s="84"/>
      <c r="CYR1" s="84"/>
      <c r="CYS1" s="84"/>
      <c r="CYT1" s="84"/>
      <c r="CYU1" s="84"/>
      <c r="CYV1" s="84"/>
      <c r="CYW1" s="84"/>
      <c r="CYX1" s="84"/>
      <c r="CYY1" s="84"/>
      <c r="CYZ1" s="84"/>
      <c r="CZA1" s="84"/>
      <c r="CZB1" s="84"/>
      <c r="CZC1" s="84"/>
      <c r="CZD1" s="84"/>
      <c r="CZE1" s="84"/>
      <c r="CZF1" s="84"/>
      <c r="CZG1" s="84"/>
      <c r="CZH1" s="84"/>
      <c r="CZI1" s="84"/>
      <c r="CZJ1" s="84"/>
      <c r="CZK1" s="84"/>
      <c r="CZL1" s="84"/>
      <c r="CZM1" s="84"/>
      <c r="CZN1" s="84"/>
      <c r="CZO1" s="84"/>
      <c r="CZP1" s="84"/>
      <c r="CZQ1" s="84"/>
      <c r="CZR1" s="84"/>
      <c r="CZS1" s="84"/>
      <c r="CZT1" s="84"/>
      <c r="CZU1" s="84"/>
      <c r="CZV1" s="84"/>
      <c r="CZW1" s="84"/>
      <c r="CZX1" s="84"/>
      <c r="CZY1" s="84"/>
      <c r="CZZ1" s="84"/>
      <c r="DAA1" s="84"/>
      <c r="DAB1" s="84"/>
      <c r="DAC1" s="84"/>
      <c r="DAD1" s="84"/>
      <c r="DAE1" s="84"/>
      <c r="DAF1" s="84"/>
      <c r="DAG1" s="84"/>
      <c r="DAH1" s="84"/>
      <c r="DAI1" s="84"/>
      <c r="DAJ1" s="84"/>
      <c r="DAK1" s="84"/>
      <c r="DAL1" s="84"/>
      <c r="DAM1" s="84"/>
      <c r="DAN1" s="84"/>
      <c r="DAO1" s="84"/>
      <c r="DAP1" s="84"/>
      <c r="DAQ1" s="84"/>
      <c r="DAR1" s="84"/>
      <c r="DAS1" s="84"/>
      <c r="DAT1" s="84"/>
      <c r="DAU1" s="84"/>
      <c r="DAV1" s="84"/>
      <c r="DAW1" s="84"/>
      <c r="DAX1" s="84"/>
      <c r="DAY1" s="84"/>
      <c r="DAZ1" s="84"/>
      <c r="DBA1" s="84"/>
      <c r="DBB1" s="84"/>
      <c r="DBC1" s="84"/>
      <c r="DBD1" s="84"/>
      <c r="DBE1" s="84"/>
      <c r="DBF1" s="84"/>
      <c r="DBG1" s="84"/>
      <c r="DBH1" s="84"/>
      <c r="DBI1" s="84"/>
      <c r="DBJ1" s="84"/>
      <c r="DBK1" s="84"/>
      <c r="DBL1" s="84"/>
      <c r="DBM1" s="84"/>
      <c r="DBN1" s="84"/>
      <c r="DBO1" s="84"/>
      <c r="DBP1" s="84"/>
      <c r="DBQ1" s="84"/>
      <c r="DBR1" s="84"/>
      <c r="DBS1" s="84"/>
      <c r="DBT1" s="84"/>
      <c r="DBU1" s="84"/>
      <c r="DBV1" s="84"/>
      <c r="DBW1" s="84"/>
      <c r="DBX1" s="84"/>
      <c r="DBY1" s="84"/>
      <c r="DBZ1" s="84"/>
      <c r="DCA1" s="84"/>
      <c r="DCB1" s="84"/>
      <c r="DCC1" s="84"/>
      <c r="DCD1" s="84"/>
      <c r="DCE1" s="84"/>
      <c r="DCF1" s="84"/>
      <c r="DCG1" s="84"/>
      <c r="DCH1" s="84"/>
      <c r="DCI1" s="84"/>
      <c r="DCJ1" s="84"/>
      <c r="DCK1" s="84"/>
      <c r="DCL1" s="84"/>
      <c r="DCM1" s="84"/>
      <c r="DCN1" s="84"/>
      <c r="DCO1" s="84"/>
      <c r="DCP1" s="84"/>
      <c r="DCQ1" s="84"/>
      <c r="DCR1" s="84"/>
      <c r="DCS1" s="84"/>
      <c r="DCT1" s="84"/>
      <c r="DCU1" s="84"/>
      <c r="DCV1" s="84"/>
      <c r="DCW1" s="84"/>
      <c r="DCX1" s="84"/>
      <c r="DCY1" s="84"/>
      <c r="DCZ1" s="84"/>
      <c r="DDA1" s="84"/>
      <c r="DDB1" s="84"/>
      <c r="DDC1" s="84"/>
      <c r="DDD1" s="84"/>
      <c r="DDE1" s="84"/>
      <c r="DDF1" s="84"/>
      <c r="DDG1" s="84"/>
      <c r="DDH1" s="84"/>
      <c r="DDI1" s="84"/>
      <c r="DDJ1" s="84"/>
      <c r="DDK1" s="84"/>
      <c r="DDL1" s="84"/>
      <c r="DDM1" s="84"/>
      <c r="DDN1" s="84"/>
      <c r="DDO1" s="84"/>
      <c r="DDP1" s="84"/>
      <c r="DDQ1" s="84"/>
      <c r="DDR1" s="84"/>
      <c r="DDS1" s="84"/>
      <c r="DDT1" s="84"/>
      <c r="DDU1" s="84"/>
      <c r="DDV1" s="84"/>
      <c r="DDW1" s="84"/>
      <c r="DDX1" s="84"/>
      <c r="DDY1" s="84"/>
      <c r="DDZ1" s="84"/>
      <c r="DEA1" s="84"/>
      <c r="DEB1" s="84"/>
      <c r="DEC1" s="84"/>
      <c r="DED1" s="84"/>
      <c r="DEE1" s="84"/>
      <c r="DEF1" s="84"/>
      <c r="DEG1" s="84"/>
      <c r="DEH1" s="84"/>
      <c r="DEI1" s="84"/>
      <c r="DEJ1" s="84"/>
      <c r="DEK1" s="84"/>
      <c r="DEL1" s="84"/>
      <c r="DEM1" s="84"/>
      <c r="DEN1" s="84"/>
      <c r="DEO1" s="84"/>
      <c r="DEP1" s="84"/>
      <c r="DEQ1" s="84"/>
      <c r="DER1" s="84"/>
      <c r="DES1" s="84"/>
      <c r="DET1" s="84"/>
      <c r="DEU1" s="84"/>
      <c r="DEV1" s="84"/>
      <c r="DEW1" s="84"/>
      <c r="DEX1" s="84"/>
      <c r="DEY1" s="84"/>
      <c r="DEZ1" s="84"/>
      <c r="DFA1" s="84"/>
      <c r="DFB1" s="84"/>
      <c r="DFC1" s="84"/>
      <c r="DFD1" s="84"/>
      <c r="DFE1" s="84"/>
      <c r="DFF1" s="84"/>
      <c r="DFG1" s="84"/>
      <c r="DFH1" s="84"/>
      <c r="DFI1" s="84"/>
      <c r="DFJ1" s="84"/>
      <c r="DFK1" s="84"/>
      <c r="DFL1" s="84"/>
      <c r="DFM1" s="84"/>
      <c r="DFN1" s="84"/>
      <c r="DFO1" s="84"/>
      <c r="DFP1" s="84"/>
      <c r="DFQ1" s="84"/>
      <c r="DFR1" s="84"/>
      <c r="DFS1" s="84"/>
      <c r="DFT1" s="84"/>
      <c r="DFU1" s="84"/>
      <c r="DFV1" s="84"/>
      <c r="DFW1" s="84"/>
      <c r="DFX1" s="84"/>
      <c r="DFY1" s="84"/>
      <c r="DFZ1" s="84"/>
      <c r="DGA1" s="84"/>
      <c r="DGB1" s="84"/>
      <c r="DGC1" s="84"/>
      <c r="DGD1" s="84"/>
      <c r="DGE1" s="84"/>
      <c r="DGF1" s="84"/>
      <c r="DGG1" s="84"/>
      <c r="DGH1" s="84"/>
      <c r="DGI1" s="84"/>
      <c r="DGJ1" s="84"/>
      <c r="DGK1" s="84"/>
      <c r="DGL1" s="84"/>
      <c r="DGM1" s="84"/>
      <c r="DGN1" s="84"/>
      <c r="DGO1" s="84"/>
      <c r="DGP1" s="84"/>
      <c r="DGQ1" s="84"/>
      <c r="DGR1" s="84"/>
      <c r="DGS1" s="84"/>
      <c r="DGT1" s="84"/>
      <c r="DGU1" s="84"/>
      <c r="DGV1" s="84"/>
      <c r="DGW1" s="84"/>
      <c r="DGX1" s="84"/>
      <c r="DGY1" s="84"/>
      <c r="DGZ1" s="84"/>
      <c r="DHA1" s="84"/>
      <c r="DHB1" s="84"/>
      <c r="DHC1" s="84"/>
      <c r="DHD1" s="84"/>
      <c r="DHE1" s="84"/>
      <c r="DHF1" s="84"/>
      <c r="DHG1" s="84"/>
      <c r="DHH1" s="84"/>
      <c r="DHI1" s="84"/>
      <c r="DHJ1" s="84"/>
      <c r="DHK1" s="84"/>
      <c r="DHL1" s="84"/>
      <c r="DHM1" s="84"/>
      <c r="DHN1" s="84"/>
      <c r="DHO1" s="84"/>
      <c r="DHP1" s="84"/>
      <c r="DHQ1" s="84"/>
      <c r="DHR1" s="84"/>
      <c r="DHS1" s="84"/>
      <c r="DHT1" s="84"/>
      <c r="DHU1" s="84"/>
      <c r="DHV1" s="84"/>
      <c r="DHW1" s="84"/>
      <c r="DHX1" s="84"/>
      <c r="DHY1" s="84"/>
      <c r="DHZ1" s="84"/>
      <c r="DIA1" s="84"/>
      <c r="DIB1" s="84"/>
      <c r="DIC1" s="84"/>
      <c r="DID1" s="84"/>
      <c r="DIE1" s="84"/>
      <c r="DIF1" s="84"/>
      <c r="DIG1" s="84"/>
      <c r="DIH1" s="84"/>
      <c r="DII1" s="84"/>
      <c r="DIJ1" s="84"/>
      <c r="DIK1" s="84"/>
      <c r="DIL1" s="84"/>
      <c r="DIM1" s="84"/>
      <c r="DIN1" s="84"/>
      <c r="DIO1" s="84"/>
      <c r="DIP1" s="84"/>
      <c r="DIQ1" s="84"/>
      <c r="DIR1" s="84"/>
      <c r="DIS1" s="84"/>
      <c r="DIT1" s="84"/>
      <c r="DIU1" s="84"/>
      <c r="DIV1" s="84"/>
      <c r="DIW1" s="84"/>
      <c r="DIX1" s="84"/>
      <c r="DIY1" s="84"/>
      <c r="DIZ1" s="84"/>
      <c r="DJA1" s="84"/>
      <c r="DJB1" s="84"/>
      <c r="DJC1" s="84"/>
      <c r="DJD1" s="84"/>
      <c r="DJE1" s="84"/>
      <c r="DJF1" s="84"/>
      <c r="DJG1" s="84"/>
      <c r="DJH1" s="84"/>
      <c r="DJI1" s="84"/>
      <c r="DJJ1" s="84"/>
      <c r="DJK1" s="84"/>
      <c r="DJL1" s="84"/>
      <c r="DJM1" s="84"/>
      <c r="DJN1" s="84"/>
      <c r="DJO1" s="84"/>
      <c r="DJP1" s="84"/>
      <c r="DJQ1" s="84"/>
      <c r="DJR1" s="84"/>
      <c r="DJS1" s="84"/>
      <c r="DJT1" s="84"/>
      <c r="DJU1" s="84"/>
      <c r="DJV1" s="84"/>
      <c r="DJW1" s="84"/>
      <c r="DJX1" s="84"/>
      <c r="DJY1" s="84"/>
      <c r="DJZ1" s="84"/>
      <c r="DKA1" s="84"/>
      <c r="DKB1" s="84"/>
      <c r="DKC1" s="84"/>
      <c r="DKD1" s="84"/>
      <c r="DKE1" s="84"/>
      <c r="DKF1" s="84"/>
      <c r="DKG1" s="84"/>
      <c r="DKH1" s="84"/>
      <c r="DKI1" s="84"/>
      <c r="DKJ1" s="84"/>
      <c r="DKK1" s="84"/>
      <c r="DKL1" s="84"/>
      <c r="DKM1" s="84"/>
      <c r="DKN1" s="84"/>
      <c r="DKO1" s="84"/>
      <c r="DKP1" s="84"/>
      <c r="DKQ1" s="84"/>
      <c r="DKR1" s="84"/>
      <c r="DKS1" s="84"/>
      <c r="DKT1" s="84"/>
      <c r="DKU1" s="84"/>
      <c r="DKV1" s="84"/>
      <c r="DKW1" s="84"/>
      <c r="DKX1" s="84"/>
      <c r="DKY1" s="84"/>
      <c r="DKZ1" s="84"/>
      <c r="DLA1" s="84"/>
      <c r="DLB1" s="84"/>
      <c r="DLC1" s="84"/>
      <c r="DLD1" s="84"/>
      <c r="DLE1" s="84"/>
      <c r="DLF1" s="84"/>
      <c r="DLG1" s="84"/>
      <c r="DLH1" s="84"/>
      <c r="DLI1" s="84"/>
      <c r="DLJ1" s="84"/>
      <c r="DLK1" s="84"/>
      <c r="DLL1" s="84"/>
      <c r="DLM1" s="84"/>
      <c r="DLN1" s="84"/>
      <c r="DLO1" s="84"/>
      <c r="DLP1" s="84"/>
      <c r="DLQ1" s="84"/>
      <c r="DLR1" s="84"/>
      <c r="DLS1" s="84"/>
      <c r="DLT1" s="84"/>
      <c r="DLU1" s="84"/>
      <c r="DLV1" s="84"/>
      <c r="DLW1" s="84"/>
      <c r="DLX1" s="84"/>
      <c r="DLY1" s="84"/>
      <c r="DLZ1" s="84"/>
      <c r="DMA1" s="84"/>
      <c r="DMB1" s="84"/>
      <c r="DMC1" s="84"/>
      <c r="DMD1" s="84"/>
      <c r="DME1" s="84"/>
      <c r="DMF1" s="84"/>
      <c r="DMG1" s="84"/>
      <c r="DMH1" s="84"/>
      <c r="DMI1" s="84"/>
      <c r="DMJ1" s="84"/>
      <c r="DMK1" s="84"/>
      <c r="DML1" s="84"/>
      <c r="DMM1" s="84"/>
      <c r="DMN1" s="84"/>
      <c r="DMO1" s="84"/>
      <c r="DMP1" s="84"/>
      <c r="DMQ1" s="84"/>
      <c r="DMR1" s="84"/>
      <c r="DMS1" s="84"/>
      <c r="DMT1" s="84"/>
      <c r="DMU1" s="84"/>
      <c r="DMV1" s="84"/>
      <c r="DMW1" s="84"/>
      <c r="DMX1" s="84"/>
      <c r="DMY1" s="84"/>
      <c r="DMZ1" s="84"/>
      <c r="DNA1" s="84"/>
      <c r="DNB1" s="84"/>
      <c r="DNC1" s="84"/>
      <c r="DND1" s="84"/>
      <c r="DNE1" s="84"/>
      <c r="DNF1" s="84"/>
      <c r="DNG1" s="84"/>
      <c r="DNH1" s="84"/>
      <c r="DNI1" s="84"/>
      <c r="DNJ1" s="84"/>
      <c r="DNK1" s="84"/>
      <c r="DNL1" s="84"/>
      <c r="DNM1" s="84"/>
      <c r="DNN1" s="84"/>
      <c r="DNO1" s="84"/>
      <c r="DNP1" s="84"/>
      <c r="DNQ1" s="84"/>
      <c r="DNR1" s="84"/>
      <c r="DNS1" s="84"/>
      <c r="DNT1" s="84"/>
      <c r="DNU1" s="84"/>
      <c r="DNV1" s="84"/>
      <c r="DNW1" s="84"/>
      <c r="DNX1" s="84"/>
      <c r="DNY1" s="84"/>
      <c r="DNZ1" s="84"/>
      <c r="DOA1" s="84"/>
      <c r="DOB1" s="84"/>
      <c r="DOC1" s="84"/>
      <c r="DOD1" s="84"/>
      <c r="DOE1" s="84"/>
      <c r="DOF1" s="84"/>
      <c r="DOG1" s="84"/>
      <c r="DOH1" s="84"/>
      <c r="DOI1" s="84"/>
      <c r="DOJ1" s="84"/>
      <c r="DOK1" s="84"/>
      <c r="DOL1" s="84"/>
      <c r="DOM1" s="84"/>
      <c r="DON1" s="84"/>
      <c r="DOO1" s="84"/>
      <c r="DOP1" s="84"/>
      <c r="DOQ1" s="84"/>
      <c r="DOR1" s="84"/>
      <c r="DOS1" s="84"/>
      <c r="DOT1" s="84"/>
      <c r="DOU1" s="84"/>
      <c r="DOV1" s="84"/>
      <c r="DOW1" s="84"/>
      <c r="DOX1" s="84"/>
      <c r="DOY1" s="84"/>
      <c r="DOZ1" s="84"/>
      <c r="DPA1" s="84"/>
      <c r="DPB1" s="84"/>
      <c r="DPC1" s="84"/>
      <c r="DPD1" s="84"/>
      <c r="DPE1" s="84"/>
      <c r="DPF1" s="84"/>
      <c r="DPG1" s="84"/>
      <c r="DPH1" s="84"/>
      <c r="DPI1" s="84"/>
      <c r="DPJ1" s="84"/>
      <c r="DPK1" s="84"/>
      <c r="DPL1" s="84"/>
      <c r="DPM1" s="84"/>
      <c r="DPN1" s="84"/>
      <c r="DPO1" s="84"/>
      <c r="DPP1" s="84"/>
      <c r="DPQ1" s="84"/>
      <c r="DPR1" s="84"/>
      <c r="DPS1" s="84"/>
      <c r="DPT1" s="84"/>
      <c r="DPU1" s="84"/>
      <c r="DPV1" s="84"/>
      <c r="DPW1" s="84"/>
      <c r="DPX1" s="84"/>
      <c r="DPY1" s="84"/>
      <c r="DPZ1" s="84"/>
      <c r="DQA1" s="84"/>
      <c r="DQB1" s="84"/>
      <c r="DQC1" s="84"/>
      <c r="DQD1" s="84"/>
      <c r="DQE1" s="84"/>
      <c r="DQF1" s="84"/>
      <c r="DQG1" s="84"/>
      <c r="DQH1" s="84"/>
      <c r="DQI1" s="84"/>
      <c r="DQJ1" s="84"/>
      <c r="DQK1" s="84"/>
      <c r="DQL1" s="84"/>
      <c r="DQM1" s="84"/>
      <c r="DQN1" s="84"/>
      <c r="DQO1" s="84"/>
      <c r="DQP1" s="84"/>
      <c r="DQQ1" s="84"/>
      <c r="DQR1" s="84"/>
      <c r="DQS1" s="84"/>
      <c r="DQT1" s="84"/>
      <c r="DQU1" s="84"/>
      <c r="DQV1" s="84"/>
      <c r="DQW1" s="84"/>
      <c r="DQX1" s="84"/>
      <c r="DQY1" s="84"/>
      <c r="DQZ1" s="84"/>
      <c r="DRA1" s="84"/>
      <c r="DRB1" s="84"/>
      <c r="DRC1" s="84"/>
      <c r="DRD1" s="84"/>
      <c r="DRE1" s="84"/>
      <c r="DRF1" s="84"/>
      <c r="DRG1" s="84"/>
      <c r="DRH1" s="84"/>
      <c r="DRI1" s="84"/>
      <c r="DRJ1" s="84"/>
      <c r="DRK1" s="84"/>
      <c r="DRL1" s="84"/>
      <c r="DRM1" s="84"/>
      <c r="DRN1" s="84"/>
      <c r="DRO1" s="84"/>
      <c r="DRP1" s="84"/>
      <c r="DRQ1" s="84"/>
      <c r="DRR1" s="84"/>
      <c r="DRS1" s="84"/>
      <c r="DRT1" s="84"/>
      <c r="DRU1" s="84"/>
      <c r="DRV1" s="84"/>
      <c r="DRW1" s="84"/>
      <c r="DRX1" s="84"/>
      <c r="DRY1" s="84"/>
      <c r="DRZ1" s="84"/>
      <c r="DSA1" s="84"/>
      <c r="DSB1" s="84"/>
      <c r="DSC1" s="84"/>
      <c r="DSD1" s="84"/>
      <c r="DSE1" s="84"/>
      <c r="DSF1" s="84"/>
      <c r="DSG1" s="84"/>
      <c r="DSH1" s="84"/>
      <c r="DSI1" s="84"/>
      <c r="DSJ1" s="84"/>
      <c r="DSK1" s="84"/>
      <c r="DSL1" s="84"/>
      <c r="DSM1" s="84"/>
      <c r="DSN1" s="84"/>
      <c r="DSO1" s="84"/>
      <c r="DSP1" s="84"/>
      <c r="DSQ1" s="84"/>
      <c r="DSR1" s="84"/>
      <c r="DSS1" s="84"/>
      <c r="DST1" s="84"/>
      <c r="DSU1" s="84"/>
      <c r="DSV1" s="84"/>
      <c r="DSW1" s="84"/>
      <c r="DSX1" s="84"/>
      <c r="DSY1" s="84"/>
      <c r="DSZ1" s="84"/>
      <c r="DTA1" s="84"/>
      <c r="DTB1" s="84"/>
      <c r="DTC1" s="84"/>
      <c r="DTD1" s="84"/>
      <c r="DTE1" s="84"/>
      <c r="DTF1" s="84"/>
      <c r="DTG1" s="84"/>
      <c r="DTH1" s="84"/>
      <c r="DTI1" s="84"/>
      <c r="DTJ1" s="84"/>
      <c r="DTK1" s="84"/>
      <c r="DTL1" s="84"/>
      <c r="DTM1" s="84"/>
      <c r="DTN1" s="84"/>
      <c r="DTO1" s="84"/>
      <c r="DTP1" s="84"/>
      <c r="DTQ1" s="84"/>
      <c r="DTR1" s="84"/>
      <c r="DTS1" s="84"/>
      <c r="DTT1" s="84"/>
      <c r="DTU1" s="84"/>
      <c r="DTV1" s="84"/>
      <c r="DTW1" s="84"/>
      <c r="DTX1" s="84"/>
      <c r="DTY1" s="84"/>
      <c r="DTZ1" s="84"/>
      <c r="DUA1" s="84"/>
      <c r="DUB1" s="84"/>
      <c r="DUC1" s="84"/>
      <c r="DUD1" s="84"/>
      <c r="DUE1" s="84"/>
      <c r="DUF1" s="84"/>
      <c r="DUG1" s="84"/>
      <c r="DUH1" s="84"/>
      <c r="DUI1" s="84"/>
      <c r="DUJ1" s="84"/>
      <c r="DUK1" s="84"/>
      <c r="DUL1" s="84"/>
      <c r="DUM1" s="84"/>
      <c r="DUN1" s="84"/>
      <c r="DUO1" s="84"/>
      <c r="DUP1" s="84"/>
      <c r="DUQ1" s="84"/>
      <c r="DUR1" s="84"/>
      <c r="DUS1" s="84"/>
      <c r="DUT1" s="84"/>
      <c r="DUU1" s="84"/>
      <c r="DUV1" s="84"/>
      <c r="DUW1" s="84"/>
      <c r="DUX1" s="84"/>
      <c r="DUY1" s="84"/>
      <c r="DUZ1" s="84"/>
      <c r="DVA1" s="84"/>
      <c r="DVB1" s="84"/>
      <c r="DVC1" s="84"/>
      <c r="DVD1" s="84"/>
      <c r="DVE1" s="84"/>
      <c r="DVF1" s="84"/>
      <c r="DVG1" s="84"/>
      <c r="DVH1" s="84"/>
      <c r="DVI1" s="84"/>
      <c r="DVJ1" s="84"/>
      <c r="DVK1" s="84"/>
      <c r="DVL1" s="84"/>
      <c r="DVM1" s="84"/>
      <c r="DVN1" s="84"/>
      <c r="DVO1" s="84"/>
      <c r="DVP1" s="84"/>
      <c r="DVQ1" s="84"/>
      <c r="DVR1" s="84"/>
      <c r="DVS1" s="84"/>
      <c r="DVT1" s="84"/>
      <c r="DVU1" s="84"/>
      <c r="DVV1" s="84"/>
      <c r="DVW1" s="84"/>
      <c r="DVX1" s="84"/>
      <c r="DVY1" s="84"/>
      <c r="DVZ1" s="84"/>
      <c r="DWA1" s="84"/>
      <c r="DWB1" s="84"/>
      <c r="DWC1" s="84"/>
      <c r="DWD1" s="84"/>
      <c r="DWE1" s="84"/>
      <c r="DWF1" s="84"/>
      <c r="DWG1" s="84"/>
      <c r="DWH1" s="84"/>
      <c r="DWI1" s="84"/>
      <c r="DWJ1" s="84"/>
      <c r="DWK1" s="84"/>
      <c r="DWL1" s="84"/>
      <c r="DWM1" s="84"/>
      <c r="DWN1" s="84"/>
      <c r="DWO1" s="84"/>
      <c r="DWP1" s="84"/>
      <c r="DWQ1" s="84"/>
      <c r="DWR1" s="84"/>
      <c r="DWS1" s="84"/>
      <c r="DWT1" s="84"/>
      <c r="DWU1" s="84"/>
      <c r="DWV1" s="84"/>
      <c r="DWW1" s="84"/>
      <c r="DWX1" s="84"/>
      <c r="DWY1" s="84"/>
      <c r="DWZ1" s="84"/>
      <c r="DXA1" s="84"/>
      <c r="DXB1" s="84"/>
      <c r="DXC1" s="84"/>
      <c r="DXD1" s="84"/>
      <c r="DXE1" s="84"/>
      <c r="DXF1" s="84"/>
      <c r="DXG1" s="84"/>
      <c r="DXH1" s="84"/>
      <c r="DXI1" s="84"/>
      <c r="DXJ1" s="84"/>
      <c r="DXK1" s="84"/>
      <c r="DXL1" s="84"/>
      <c r="DXM1" s="84"/>
      <c r="DXN1" s="84"/>
      <c r="DXO1" s="84"/>
      <c r="DXP1" s="84"/>
      <c r="DXQ1" s="84"/>
      <c r="DXR1" s="84"/>
      <c r="DXS1" s="84"/>
      <c r="DXT1" s="84"/>
      <c r="DXU1" s="84"/>
      <c r="DXV1" s="84"/>
      <c r="DXW1" s="84"/>
      <c r="DXX1" s="84"/>
      <c r="DXY1" s="84"/>
      <c r="DXZ1" s="84"/>
      <c r="DYA1" s="84"/>
      <c r="DYB1" s="84"/>
      <c r="DYC1" s="84"/>
      <c r="DYD1" s="84"/>
      <c r="DYE1" s="84"/>
      <c r="DYF1" s="84"/>
      <c r="DYG1" s="84"/>
      <c r="DYH1" s="84"/>
      <c r="DYI1" s="84"/>
      <c r="DYJ1" s="84"/>
      <c r="DYK1" s="84"/>
      <c r="DYL1" s="84"/>
      <c r="DYM1" s="84"/>
      <c r="DYN1" s="84"/>
      <c r="DYO1" s="84"/>
      <c r="DYP1" s="84"/>
      <c r="DYQ1" s="84"/>
      <c r="DYR1" s="84"/>
      <c r="DYS1" s="84"/>
      <c r="DYT1" s="84"/>
      <c r="DYU1" s="84"/>
      <c r="DYV1" s="84"/>
      <c r="DYW1" s="84"/>
      <c r="DYX1" s="84"/>
      <c r="DYY1" s="84"/>
      <c r="DYZ1" s="84"/>
      <c r="DZA1" s="84"/>
      <c r="DZB1" s="84"/>
      <c r="DZC1" s="84"/>
      <c r="DZD1" s="84"/>
      <c r="DZE1" s="84"/>
      <c r="DZF1" s="84"/>
      <c r="DZG1" s="84"/>
      <c r="DZH1" s="84"/>
      <c r="DZI1" s="84"/>
      <c r="DZJ1" s="84"/>
      <c r="DZK1" s="84"/>
      <c r="DZL1" s="84"/>
      <c r="DZM1" s="84"/>
      <c r="DZN1" s="84"/>
      <c r="DZO1" s="84"/>
      <c r="DZP1" s="84"/>
      <c r="DZQ1" s="84"/>
      <c r="DZR1" s="84"/>
      <c r="DZS1" s="84"/>
      <c r="DZT1" s="84"/>
      <c r="DZU1" s="84"/>
      <c r="DZV1" s="84"/>
      <c r="DZW1" s="84"/>
      <c r="DZX1" s="84"/>
      <c r="DZY1" s="84"/>
      <c r="DZZ1" s="84"/>
      <c r="EAA1" s="84"/>
      <c r="EAB1" s="84"/>
      <c r="EAC1" s="84"/>
      <c r="EAD1" s="84"/>
      <c r="EAE1" s="84"/>
      <c r="EAF1" s="84"/>
      <c r="EAG1" s="84"/>
      <c r="EAH1" s="84"/>
      <c r="EAI1" s="84"/>
      <c r="EAJ1" s="84"/>
      <c r="EAK1" s="84"/>
      <c r="EAL1" s="84"/>
      <c r="EAM1" s="84"/>
      <c r="EAN1" s="84"/>
      <c r="EAO1" s="84"/>
      <c r="EAP1" s="84"/>
      <c r="EAQ1" s="84"/>
      <c r="EAR1" s="84"/>
      <c r="EAS1" s="84"/>
      <c r="EAT1" s="84"/>
      <c r="EAU1" s="84"/>
      <c r="EAV1" s="84"/>
      <c r="EAW1" s="84"/>
      <c r="EAX1" s="84"/>
      <c r="EAY1" s="84"/>
      <c r="EAZ1" s="84"/>
      <c r="EBA1" s="84"/>
      <c r="EBB1" s="84"/>
      <c r="EBC1" s="84"/>
      <c r="EBD1" s="84"/>
      <c r="EBE1" s="84"/>
      <c r="EBF1" s="84"/>
      <c r="EBG1" s="84"/>
      <c r="EBH1" s="84"/>
      <c r="EBI1" s="84"/>
      <c r="EBJ1" s="84"/>
      <c r="EBK1" s="84"/>
      <c r="EBL1" s="84"/>
      <c r="EBM1" s="84"/>
      <c r="EBN1" s="84"/>
      <c r="EBO1" s="84"/>
      <c r="EBP1" s="84"/>
      <c r="EBQ1" s="84"/>
      <c r="EBR1" s="84"/>
      <c r="EBS1" s="84"/>
      <c r="EBT1" s="84"/>
      <c r="EBU1" s="84"/>
      <c r="EBV1" s="84"/>
      <c r="EBW1" s="84"/>
      <c r="EBX1" s="84"/>
      <c r="EBY1" s="84"/>
      <c r="EBZ1" s="84"/>
      <c r="ECA1" s="84"/>
      <c r="ECB1" s="84"/>
      <c r="ECC1" s="84"/>
      <c r="ECD1" s="84"/>
      <c r="ECE1" s="84"/>
      <c r="ECF1" s="84"/>
      <c r="ECG1" s="84"/>
      <c r="ECH1" s="84"/>
      <c r="ECI1" s="84"/>
      <c r="ECJ1" s="84"/>
      <c r="ECK1" s="84"/>
      <c r="ECL1" s="84"/>
      <c r="ECM1" s="84"/>
      <c r="ECN1" s="84"/>
      <c r="ECO1" s="84"/>
      <c r="ECP1" s="84"/>
      <c r="ECQ1" s="84"/>
      <c r="ECR1" s="84"/>
      <c r="ECS1" s="84"/>
      <c r="ECT1" s="84"/>
      <c r="ECU1" s="84"/>
      <c r="ECV1" s="84"/>
      <c r="ECW1" s="84"/>
      <c r="ECX1" s="84"/>
      <c r="ECY1" s="84"/>
      <c r="ECZ1" s="84"/>
      <c r="EDA1" s="84"/>
      <c r="EDB1" s="84"/>
      <c r="EDC1" s="84"/>
      <c r="EDD1" s="84"/>
      <c r="EDE1" s="84"/>
      <c r="EDF1" s="84"/>
      <c r="EDG1" s="84"/>
      <c r="EDH1" s="84"/>
      <c r="EDI1" s="84"/>
      <c r="EDJ1" s="84"/>
      <c r="EDK1" s="84"/>
      <c r="EDL1" s="84"/>
      <c r="EDM1" s="84"/>
      <c r="EDN1" s="84"/>
      <c r="EDO1" s="84"/>
      <c r="EDP1" s="84"/>
      <c r="EDQ1" s="84"/>
      <c r="EDR1" s="84"/>
      <c r="EDS1" s="84"/>
      <c r="EDT1" s="84"/>
      <c r="EDU1" s="84"/>
      <c r="EDV1" s="84"/>
      <c r="EDW1" s="84"/>
      <c r="EDX1" s="84"/>
      <c r="EDY1" s="84"/>
      <c r="EDZ1" s="84"/>
      <c r="EEA1" s="84"/>
      <c r="EEB1" s="84"/>
      <c r="EEC1" s="84"/>
      <c r="EED1" s="84"/>
      <c r="EEE1" s="84"/>
      <c r="EEF1" s="84"/>
      <c r="EEG1" s="84"/>
      <c r="EEH1" s="84"/>
      <c r="EEI1" s="84"/>
      <c r="EEJ1" s="84"/>
      <c r="EEK1" s="84"/>
      <c r="EEL1" s="84"/>
      <c r="EEM1" s="84"/>
      <c r="EEN1" s="84"/>
      <c r="EEO1" s="84"/>
      <c r="EEP1" s="84"/>
      <c r="EEQ1" s="84"/>
      <c r="EER1" s="84"/>
      <c r="EES1" s="84"/>
      <c r="EET1" s="84"/>
      <c r="EEU1" s="84"/>
      <c r="EEV1" s="84"/>
      <c r="EEW1" s="84"/>
      <c r="EEX1" s="84"/>
      <c r="EEY1" s="84"/>
      <c r="EEZ1" s="84"/>
      <c r="EFA1" s="84"/>
      <c r="EFB1" s="84"/>
      <c r="EFC1" s="84"/>
      <c r="EFD1" s="84"/>
      <c r="EFE1" s="84"/>
      <c r="EFF1" s="84"/>
      <c r="EFG1" s="84"/>
      <c r="EFH1" s="84"/>
      <c r="EFI1" s="84"/>
      <c r="EFJ1" s="84"/>
      <c r="EFK1" s="84"/>
      <c r="EFL1" s="84"/>
      <c r="EFM1" s="84"/>
      <c r="EFN1" s="84"/>
      <c r="EFO1" s="84"/>
      <c r="EFP1" s="84"/>
      <c r="EFQ1" s="84"/>
      <c r="EFR1" s="84"/>
      <c r="EFS1" s="84"/>
      <c r="EFT1" s="84"/>
      <c r="EFU1" s="84"/>
      <c r="EFV1" s="84"/>
      <c r="EFW1" s="84"/>
      <c r="EFX1" s="84"/>
      <c r="EFY1" s="84"/>
      <c r="EFZ1" s="84"/>
      <c r="EGA1" s="84"/>
      <c r="EGB1" s="84"/>
      <c r="EGC1" s="84"/>
      <c r="EGD1" s="84"/>
      <c r="EGE1" s="84"/>
      <c r="EGF1" s="84"/>
      <c r="EGG1" s="84"/>
      <c r="EGH1" s="84"/>
      <c r="EGI1" s="84"/>
      <c r="EGJ1" s="84"/>
      <c r="EGK1" s="84"/>
      <c r="EGL1" s="84"/>
      <c r="EGM1" s="84"/>
      <c r="EGN1" s="84"/>
      <c r="EGO1" s="84"/>
      <c r="EGP1" s="84"/>
      <c r="EGQ1" s="84"/>
      <c r="EGR1" s="84"/>
      <c r="EGS1" s="84"/>
      <c r="EGT1" s="84"/>
      <c r="EGU1" s="84"/>
      <c r="EGV1" s="84"/>
      <c r="EGW1" s="84"/>
      <c r="EGX1" s="84"/>
      <c r="EGY1" s="84"/>
      <c r="EGZ1" s="84"/>
      <c r="EHA1" s="84"/>
      <c r="EHB1" s="84"/>
      <c r="EHC1" s="84"/>
      <c r="EHD1" s="84"/>
      <c r="EHE1" s="84"/>
      <c r="EHF1" s="84"/>
      <c r="EHG1" s="84"/>
      <c r="EHH1" s="84"/>
      <c r="EHI1" s="84"/>
      <c r="EHJ1" s="84"/>
      <c r="EHK1" s="84"/>
      <c r="EHL1" s="84"/>
      <c r="EHM1" s="84"/>
      <c r="EHN1" s="84"/>
      <c r="EHO1" s="84"/>
      <c r="EHP1" s="84"/>
      <c r="EHQ1" s="84"/>
      <c r="EHR1" s="84"/>
      <c r="EHS1" s="84"/>
      <c r="EHT1" s="84"/>
      <c r="EHU1" s="84"/>
      <c r="EHV1" s="84"/>
      <c r="EHW1" s="84"/>
      <c r="EHX1" s="84"/>
      <c r="EHY1" s="84"/>
      <c r="EHZ1" s="84"/>
      <c r="EIA1" s="84"/>
      <c r="EIB1" s="84"/>
      <c r="EIC1" s="84"/>
      <c r="EID1" s="84"/>
      <c r="EIE1" s="84"/>
      <c r="EIF1" s="84"/>
      <c r="EIG1" s="84"/>
      <c r="EIH1" s="84"/>
      <c r="EII1" s="84"/>
      <c r="EIJ1" s="84"/>
      <c r="EIK1" s="84"/>
      <c r="EIL1" s="84"/>
      <c r="EIM1" s="84"/>
      <c r="EIN1" s="84"/>
      <c r="EIO1" s="84"/>
      <c r="EIP1" s="84"/>
      <c r="EIQ1" s="84"/>
      <c r="EIR1" s="84"/>
      <c r="EIS1" s="84"/>
      <c r="EIT1" s="84"/>
      <c r="EIU1" s="84"/>
      <c r="EIV1" s="84"/>
      <c r="EIW1" s="84"/>
      <c r="EIX1" s="84"/>
      <c r="EIY1" s="84"/>
      <c r="EIZ1" s="84"/>
      <c r="EJA1" s="84"/>
      <c r="EJB1" s="84"/>
      <c r="EJC1" s="84"/>
      <c r="EJD1" s="84"/>
      <c r="EJE1" s="84"/>
      <c r="EJF1" s="84"/>
      <c r="EJG1" s="84"/>
      <c r="EJH1" s="84"/>
      <c r="EJI1" s="84"/>
      <c r="EJJ1" s="84"/>
      <c r="EJK1" s="84"/>
      <c r="EJL1" s="84"/>
      <c r="EJM1" s="84"/>
      <c r="EJN1" s="84"/>
      <c r="EJO1" s="84"/>
      <c r="EJP1" s="84"/>
      <c r="EJQ1" s="84"/>
      <c r="EJR1" s="84"/>
      <c r="EJS1" s="84"/>
      <c r="EJT1" s="84"/>
      <c r="EJU1" s="84"/>
      <c r="EJV1" s="84"/>
      <c r="EJW1" s="84"/>
      <c r="EJX1" s="84"/>
      <c r="EJY1" s="84"/>
      <c r="EJZ1" s="84"/>
      <c r="EKA1" s="84"/>
      <c r="EKB1" s="84"/>
      <c r="EKC1" s="84"/>
      <c r="EKD1" s="84"/>
      <c r="EKE1" s="84"/>
      <c r="EKF1" s="84"/>
      <c r="EKG1" s="84"/>
      <c r="EKH1" s="84"/>
      <c r="EKI1" s="84"/>
      <c r="EKJ1" s="84"/>
      <c r="EKK1" s="84"/>
      <c r="EKL1" s="84"/>
      <c r="EKM1" s="84"/>
      <c r="EKN1" s="84"/>
      <c r="EKO1" s="84"/>
      <c r="EKP1" s="84"/>
      <c r="EKQ1" s="84"/>
      <c r="EKR1" s="84"/>
      <c r="EKS1" s="84"/>
      <c r="EKT1" s="84"/>
      <c r="EKU1" s="84"/>
      <c r="EKV1" s="84"/>
      <c r="EKW1" s="84"/>
      <c r="EKX1" s="84"/>
      <c r="EKY1" s="84"/>
      <c r="EKZ1" s="84"/>
      <c r="ELA1" s="84"/>
      <c r="ELB1" s="84"/>
      <c r="ELC1" s="84"/>
      <c r="ELD1" s="84"/>
      <c r="ELE1" s="84"/>
      <c r="ELF1" s="84"/>
      <c r="ELG1" s="84"/>
      <c r="ELH1" s="84"/>
      <c r="ELI1" s="84"/>
      <c r="ELJ1" s="84"/>
      <c r="ELK1" s="84"/>
      <c r="ELL1" s="84"/>
      <c r="ELM1" s="84"/>
      <c r="ELN1" s="84"/>
      <c r="ELO1" s="84"/>
      <c r="ELP1" s="84"/>
      <c r="ELQ1" s="84"/>
      <c r="ELR1" s="84"/>
      <c r="ELS1" s="84"/>
      <c r="ELT1" s="84"/>
      <c r="ELU1" s="84"/>
      <c r="ELV1" s="84"/>
      <c r="ELW1" s="84"/>
      <c r="ELX1" s="84"/>
      <c r="ELY1" s="84"/>
      <c r="ELZ1" s="84"/>
      <c r="EMA1" s="84"/>
      <c r="EMB1" s="84"/>
      <c r="EMC1" s="84"/>
      <c r="EMD1" s="84"/>
      <c r="EME1" s="84"/>
      <c r="EMF1" s="84"/>
      <c r="EMG1" s="84"/>
      <c r="EMH1" s="84"/>
      <c r="EMI1" s="84"/>
      <c r="EMJ1" s="84"/>
      <c r="EMK1" s="84"/>
      <c r="EML1" s="84"/>
      <c r="EMM1" s="84"/>
      <c r="EMN1" s="84"/>
      <c r="EMO1" s="84"/>
      <c r="EMP1" s="84"/>
      <c r="EMQ1" s="84"/>
      <c r="EMR1" s="84"/>
      <c r="EMS1" s="84"/>
      <c r="EMT1" s="84"/>
      <c r="EMU1" s="84"/>
      <c r="EMV1" s="84"/>
      <c r="EMW1" s="84"/>
      <c r="EMX1" s="84"/>
      <c r="EMY1" s="84"/>
      <c r="EMZ1" s="84"/>
      <c r="ENA1" s="84"/>
      <c r="ENB1" s="84"/>
      <c r="ENC1" s="84"/>
      <c r="END1" s="84"/>
      <c r="ENE1" s="84"/>
      <c r="ENF1" s="84"/>
      <c r="ENG1" s="84"/>
      <c r="ENH1" s="84"/>
      <c r="ENI1" s="84"/>
      <c r="ENJ1" s="84"/>
      <c r="ENK1" s="84"/>
      <c r="ENL1" s="84"/>
      <c r="ENM1" s="84"/>
      <c r="ENN1" s="84"/>
      <c r="ENO1" s="84"/>
      <c r="ENP1" s="84"/>
      <c r="ENQ1" s="84"/>
      <c r="ENR1" s="84"/>
      <c r="ENS1" s="84"/>
      <c r="ENT1" s="84"/>
      <c r="ENU1" s="84"/>
      <c r="ENV1" s="84"/>
      <c r="ENW1" s="84"/>
      <c r="ENX1" s="84"/>
      <c r="ENY1" s="84"/>
      <c r="ENZ1" s="84"/>
      <c r="EOA1" s="84"/>
      <c r="EOB1" s="84"/>
      <c r="EOC1" s="84"/>
      <c r="EOD1" s="84"/>
      <c r="EOE1" s="84"/>
      <c r="EOF1" s="84"/>
      <c r="EOG1" s="84"/>
      <c r="EOH1" s="84"/>
      <c r="EOI1" s="84"/>
      <c r="EOJ1" s="84"/>
      <c r="EOK1" s="84"/>
      <c r="EOL1" s="84"/>
      <c r="EOM1" s="84"/>
      <c r="EON1" s="84"/>
      <c r="EOO1" s="84"/>
      <c r="EOP1" s="84"/>
      <c r="EOQ1" s="84"/>
      <c r="EOR1" s="84"/>
      <c r="EOS1" s="84"/>
      <c r="EOT1" s="84"/>
      <c r="EOU1" s="84"/>
      <c r="EOV1" s="84"/>
      <c r="EOW1" s="84"/>
      <c r="EOX1" s="84"/>
      <c r="EOY1" s="84"/>
      <c r="EOZ1" s="84"/>
      <c r="EPA1" s="84"/>
      <c r="EPB1" s="84"/>
      <c r="EPC1" s="84"/>
      <c r="EPD1" s="84"/>
      <c r="EPE1" s="84"/>
      <c r="EPF1" s="84"/>
      <c r="EPG1" s="84"/>
      <c r="EPH1" s="84"/>
      <c r="EPI1" s="84"/>
      <c r="EPJ1" s="84"/>
      <c r="EPK1" s="84"/>
      <c r="EPL1" s="84"/>
      <c r="EPM1" s="84"/>
      <c r="EPN1" s="84"/>
      <c r="EPO1" s="84"/>
      <c r="EPP1" s="84"/>
      <c r="EPQ1" s="84"/>
      <c r="EPR1" s="84"/>
      <c r="EPS1" s="84"/>
      <c r="EPT1" s="84"/>
      <c r="EPU1" s="84"/>
      <c r="EPV1" s="84"/>
      <c r="EPW1" s="84"/>
      <c r="EPX1" s="84"/>
      <c r="EPY1" s="84"/>
      <c r="EPZ1" s="84"/>
      <c r="EQA1" s="84"/>
      <c r="EQB1" s="84"/>
      <c r="EQC1" s="84"/>
      <c r="EQD1" s="84"/>
      <c r="EQE1" s="84"/>
      <c r="EQF1" s="84"/>
      <c r="EQG1" s="84"/>
      <c r="EQH1" s="84"/>
      <c r="EQI1" s="84"/>
      <c r="EQJ1" s="84"/>
      <c r="EQK1" s="84"/>
      <c r="EQL1" s="84"/>
      <c r="EQM1" s="84"/>
      <c r="EQN1" s="84"/>
      <c r="EQO1" s="84"/>
      <c r="EQP1" s="84"/>
      <c r="EQQ1" s="84"/>
      <c r="EQR1" s="84"/>
      <c r="EQS1" s="84"/>
      <c r="EQT1" s="84"/>
      <c r="EQU1" s="84"/>
      <c r="EQV1" s="84"/>
      <c r="EQW1" s="84"/>
      <c r="EQX1" s="84"/>
      <c r="EQY1" s="84"/>
      <c r="EQZ1" s="84"/>
      <c r="ERA1" s="84"/>
      <c r="ERB1" s="84"/>
      <c r="ERC1" s="84"/>
      <c r="ERD1" s="84"/>
      <c r="ERE1" s="84"/>
      <c r="ERF1" s="84"/>
      <c r="ERG1" s="84"/>
      <c r="ERH1" s="84"/>
      <c r="ERI1" s="84"/>
      <c r="ERJ1" s="84"/>
      <c r="ERK1" s="84"/>
      <c r="ERL1" s="84"/>
      <c r="ERM1" s="84"/>
      <c r="ERN1" s="84"/>
      <c r="ERO1" s="84"/>
      <c r="ERP1" s="84"/>
      <c r="ERQ1" s="84"/>
      <c r="ERR1" s="84"/>
      <c r="ERS1" s="84"/>
      <c r="ERT1" s="84"/>
      <c r="ERU1" s="84"/>
      <c r="ERV1" s="84"/>
      <c r="ERW1" s="84"/>
      <c r="ERX1" s="84"/>
      <c r="ERY1" s="84"/>
      <c r="ERZ1" s="84"/>
      <c r="ESA1" s="84"/>
      <c r="ESB1" s="84"/>
      <c r="ESC1" s="84"/>
      <c r="ESD1" s="84"/>
      <c r="ESE1" s="84"/>
      <c r="ESF1" s="84"/>
      <c r="ESG1" s="84"/>
      <c r="ESH1" s="84"/>
      <c r="ESI1" s="84"/>
      <c r="ESJ1" s="84"/>
      <c r="ESK1" s="84"/>
      <c r="ESL1" s="84"/>
      <c r="ESM1" s="84"/>
      <c r="ESN1" s="84"/>
      <c r="ESO1" s="84"/>
      <c r="ESP1" s="84"/>
      <c r="ESQ1" s="84"/>
      <c r="ESR1" s="84"/>
      <c r="ESS1" s="84"/>
      <c r="EST1" s="84"/>
      <c r="ESU1" s="84"/>
      <c r="ESV1" s="84"/>
      <c r="ESW1" s="84"/>
      <c r="ESX1" s="84"/>
      <c r="ESY1" s="84"/>
      <c r="ESZ1" s="84"/>
      <c r="ETA1" s="84"/>
      <c r="ETB1" s="84"/>
      <c r="ETC1" s="84"/>
      <c r="ETD1" s="84"/>
      <c r="ETE1" s="84"/>
      <c r="ETF1" s="84"/>
      <c r="ETG1" s="84"/>
      <c r="ETH1" s="84"/>
      <c r="ETI1" s="84"/>
      <c r="ETJ1" s="84"/>
      <c r="ETK1" s="84"/>
      <c r="ETL1" s="84"/>
      <c r="ETM1" s="84"/>
      <c r="ETN1" s="84"/>
      <c r="ETO1" s="84"/>
      <c r="ETP1" s="84"/>
      <c r="ETQ1" s="84"/>
      <c r="ETR1" s="84"/>
      <c r="ETS1" s="84"/>
      <c r="ETT1" s="84"/>
      <c r="ETU1" s="84"/>
      <c r="ETV1" s="84"/>
      <c r="ETW1" s="84"/>
      <c r="ETX1" s="84"/>
      <c r="ETY1" s="84"/>
      <c r="ETZ1" s="84"/>
      <c r="EUA1" s="84"/>
      <c r="EUB1" s="84"/>
      <c r="EUC1" s="84"/>
      <c r="EUD1" s="84"/>
      <c r="EUE1" s="84"/>
      <c r="EUF1" s="84"/>
      <c r="EUG1" s="84"/>
      <c r="EUH1" s="84"/>
      <c r="EUI1" s="84"/>
      <c r="EUJ1" s="84"/>
      <c r="EUK1" s="84"/>
      <c r="EUL1" s="84"/>
      <c r="EUM1" s="84"/>
      <c r="EUN1" s="84"/>
      <c r="EUO1" s="84"/>
      <c r="EUP1" s="84"/>
      <c r="EUQ1" s="84"/>
      <c r="EUR1" s="84"/>
      <c r="EUS1" s="84"/>
      <c r="EUT1" s="84"/>
      <c r="EUU1" s="84"/>
      <c r="EUV1" s="84"/>
      <c r="EUW1" s="84"/>
      <c r="EUX1" s="84"/>
      <c r="EUY1" s="84"/>
      <c r="EUZ1" s="84"/>
      <c r="EVA1" s="84"/>
      <c r="EVB1" s="84"/>
      <c r="EVC1" s="84"/>
      <c r="EVD1" s="84"/>
      <c r="EVE1" s="84"/>
      <c r="EVF1" s="84"/>
      <c r="EVG1" s="84"/>
      <c r="EVH1" s="84"/>
      <c r="EVI1" s="84"/>
      <c r="EVJ1" s="84"/>
      <c r="EVK1" s="84"/>
      <c r="EVL1" s="84"/>
      <c r="EVM1" s="84"/>
      <c r="EVN1" s="84"/>
      <c r="EVO1" s="84"/>
      <c r="EVP1" s="84"/>
      <c r="EVQ1" s="84"/>
      <c r="EVR1" s="84"/>
      <c r="EVS1" s="84"/>
      <c r="EVT1" s="84"/>
      <c r="EVU1" s="84"/>
      <c r="EVV1" s="84"/>
      <c r="EVW1" s="84"/>
      <c r="EVX1" s="84"/>
      <c r="EVY1" s="84"/>
      <c r="EVZ1" s="84"/>
      <c r="EWA1" s="84"/>
      <c r="EWB1" s="84"/>
      <c r="EWC1" s="84"/>
      <c r="EWD1" s="84"/>
      <c r="EWE1" s="84"/>
      <c r="EWF1" s="84"/>
      <c r="EWG1" s="84"/>
      <c r="EWH1" s="84"/>
      <c r="EWI1" s="84"/>
      <c r="EWJ1" s="84"/>
      <c r="EWK1" s="84"/>
      <c r="EWL1" s="84"/>
      <c r="EWM1" s="84"/>
      <c r="EWN1" s="84"/>
      <c r="EWO1" s="84"/>
      <c r="EWP1" s="84"/>
      <c r="EWQ1" s="84"/>
      <c r="EWR1" s="84"/>
      <c r="EWS1" s="84"/>
      <c r="EWT1" s="84"/>
      <c r="EWU1" s="84"/>
      <c r="EWV1" s="84"/>
      <c r="EWW1" s="84"/>
      <c r="EWX1" s="84"/>
      <c r="EWY1" s="84"/>
      <c r="EWZ1" s="84"/>
      <c r="EXA1" s="84"/>
      <c r="EXB1" s="84"/>
      <c r="EXC1" s="84"/>
      <c r="EXD1" s="84"/>
      <c r="EXE1" s="84"/>
      <c r="EXF1" s="84"/>
      <c r="EXG1" s="84"/>
      <c r="EXH1" s="84"/>
      <c r="EXI1" s="84"/>
      <c r="EXJ1" s="84"/>
      <c r="EXK1" s="84"/>
      <c r="EXL1" s="84"/>
      <c r="EXM1" s="84"/>
      <c r="EXN1" s="84"/>
      <c r="EXO1" s="84"/>
      <c r="EXP1" s="84"/>
      <c r="EXQ1" s="84"/>
      <c r="EXR1" s="84"/>
      <c r="EXS1" s="84"/>
      <c r="EXT1" s="84"/>
      <c r="EXU1" s="84"/>
      <c r="EXV1" s="84"/>
      <c r="EXW1" s="84"/>
      <c r="EXX1" s="84"/>
      <c r="EXY1" s="84"/>
      <c r="EXZ1" s="84"/>
      <c r="EYA1" s="84"/>
      <c r="EYB1" s="84"/>
      <c r="EYC1" s="84"/>
      <c r="EYD1" s="84"/>
      <c r="EYE1" s="84"/>
      <c r="EYF1" s="84"/>
      <c r="EYG1" s="84"/>
      <c r="EYH1" s="84"/>
      <c r="EYI1" s="84"/>
      <c r="EYJ1" s="84"/>
      <c r="EYK1" s="84"/>
      <c r="EYL1" s="84"/>
      <c r="EYM1" s="84"/>
      <c r="EYN1" s="84"/>
      <c r="EYO1" s="84"/>
      <c r="EYP1" s="84"/>
      <c r="EYQ1" s="84"/>
      <c r="EYR1" s="84"/>
      <c r="EYS1" s="84"/>
      <c r="EYT1" s="84"/>
      <c r="EYU1" s="84"/>
      <c r="EYV1" s="84"/>
      <c r="EYW1" s="84"/>
      <c r="EYX1" s="84"/>
      <c r="EYY1" s="84"/>
      <c r="EYZ1" s="84"/>
      <c r="EZA1" s="84"/>
      <c r="EZB1" s="84"/>
      <c r="EZC1" s="84"/>
      <c r="EZD1" s="84"/>
      <c r="EZE1" s="84"/>
      <c r="EZF1" s="84"/>
      <c r="EZG1" s="84"/>
      <c r="EZH1" s="84"/>
      <c r="EZI1" s="84"/>
      <c r="EZJ1" s="84"/>
      <c r="EZK1" s="84"/>
      <c r="EZL1" s="84"/>
      <c r="EZM1" s="84"/>
      <c r="EZN1" s="84"/>
      <c r="EZO1" s="84"/>
      <c r="EZP1" s="84"/>
      <c r="EZQ1" s="84"/>
      <c r="EZR1" s="84"/>
      <c r="EZS1" s="84"/>
      <c r="EZT1" s="84"/>
      <c r="EZU1" s="84"/>
      <c r="EZV1" s="84"/>
      <c r="EZW1" s="84"/>
      <c r="EZX1" s="84"/>
      <c r="EZY1" s="84"/>
      <c r="EZZ1" s="84"/>
      <c r="FAA1" s="84"/>
      <c r="FAB1" s="84"/>
      <c r="FAC1" s="84"/>
      <c r="FAD1" s="84"/>
      <c r="FAE1" s="84"/>
      <c r="FAF1" s="84"/>
      <c r="FAG1" s="84"/>
      <c r="FAH1" s="84"/>
      <c r="FAI1" s="84"/>
      <c r="FAJ1" s="84"/>
      <c r="FAK1" s="84"/>
      <c r="FAL1" s="84"/>
      <c r="FAM1" s="84"/>
      <c r="FAN1" s="84"/>
      <c r="FAO1" s="84"/>
      <c r="FAP1" s="84"/>
      <c r="FAQ1" s="84"/>
      <c r="FAR1" s="84"/>
      <c r="FAS1" s="84"/>
      <c r="FAT1" s="84"/>
      <c r="FAU1" s="84"/>
      <c r="FAV1" s="84"/>
      <c r="FAW1" s="84"/>
      <c r="FAX1" s="84"/>
      <c r="FAY1" s="84"/>
      <c r="FAZ1" s="84"/>
      <c r="FBA1" s="84"/>
      <c r="FBB1" s="84"/>
      <c r="FBC1" s="84"/>
      <c r="FBD1" s="84"/>
      <c r="FBE1" s="84"/>
      <c r="FBF1" s="84"/>
      <c r="FBG1" s="84"/>
      <c r="FBH1" s="84"/>
      <c r="FBI1" s="84"/>
      <c r="FBJ1" s="84"/>
      <c r="FBK1" s="84"/>
      <c r="FBL1" s="84"/>
      <c r="FBM1" s="84"/>
      <c r="FBN1" s="84"/>
      <c r="FBO1" s="84"/>
      <c r="FBP1" s="84"/>
      <c r="FBQ1" s="84"/>
      <c r="FBR1" s="84"/>
      <c r="FBS1" s="84"/>
      <c r="FBT1" s="84"/>
      <c r="FBU1" s="84"/>
      <c r="FBV1" s="84"/>
      <c r="FBW1" s="84"/>
      <c r="FBX1" s="84"/>
      <c r="FBY1" s="84"/>
      <c r="FBZ1" s="84"/>
      <c r="FCA1" s="84"/>
      <c r="FCB1" s="84"/>
      <c r="FCC1" s="84"/>
      <c r="FCD1" s="84"/>
      <c r="FCE1" s="84"/>
      <c r="FCF1" s="84"/>
      <c r="FCG1" s="84"/>
      <c r="FCH1" s="84"/>
      <c r="FCI1" s="84"/>
      <c r="FCJ1" s="84"/>
      <c r="FCK1" s="84"/>
      <c r="FCL1" s="84"/>
      <c r="FCM1" s="84"/>
      <c r="FCN1" s="84"/>
      <c r="FCO1" s="84"/>
      <c r="FCP1" s="84"/>
      <c r="FCQ1" s="84"/>
      <c r="FCR1" s="84"/>
      <c r="FCS1" s="84"/>
      <c r="FCT1" s="84"/>
      <c r="FCU1" s="84"/>
      <c r="FCV1" s="84"/>
      <c r="FCW1" s="84"/>
      <c r="FCX1" s="84"/>
      <c r="FCY1" s="84"/>
      <c r="FCZ1" s="84"/>
      <c r="FDA1" s="84"/>
      <c r="FDB1" s="84"/>
      <c r="FDC1" s="84"/>
      <c r="FDD1" s="84"/>
      <c r="FDE1" s="84"/>
      <c r="FDF1" s="84"/>
      <c r="FDG1" s="84"/>
      <c r="FDH1" s="84"/>
      <c r="FDI1" s="84"/>
      <c r="FDJ1" s="84"/>
      <c r="FDK1" s="84"/>
      <c r="FDL1" s="84"/>
      <c r="FDM1" s="84"/>
      <c r="FDN1" s="84"/>
      <c r="FDO1" s="84"/>
      <c r="FDP1" s="84"/>
      <c r="FDQ1" s="84"/>
      <c r="FDR1" s="84"/>
      <c r="FDS1" s="84"/>
      <c r="FDT1" s="84"/>
      <c r="FDU1" s="84"/>
      <c r="FDV1" s="84"/>
      <c r="FDW1" s="84"/>
      <c r="FDX1" s="84"/>
      <c r="FDY1" s="84"/>
      <c r="FDZ1" s="84"/>
      <c r="FEA1" s="84"/>
      <c r="FEB1" s="84"/>
      <c r="FEC1" s="84"/>
      <c r="FED1" s="84"/>
      <c r="FEE1" s="84"/>
      <c r="FEF1" s="84"/>
      <c r="FEG1" s="84"/>
      <c r="FEH1" s="84"/>
      <c r="FEI1" s="84"/>
      <c r="FEJ1" s="84"/>
      <c r="FEK1" s="84"/>
      <c r="FEL1" s="84"/>
      <c r="FEM1" s="84"/>
      <c r="FEN1" s="84"/>
      <c r="FEO1" s="84"/>
      <c r="FEP1" s="84"/>
      <c r="FEQ1" s="84"/>
      <c r="FER1" s="84"/>
      <c r="FES1" s="84"/>
      <c r="FET1" s="84"/>
      <c r="FEU1" s="84"/>
      <c r="FEV1" s="84"/>
      <c r="FEW1" s="84"/>
      <c r="FEX1" s="84"/>
      <c r="FEY1" s="84"/>
      <c r="FEZ1" s="84"/>
      <c r="FFA1" s="84"/>
      <c r="FFB1" s="84"/>
      <c r="FFC1" s="84"/>
      <c r="FFD1" s="84"/>
      <c r="FFE1" s="84"/>
      <c r="FFF1" s="84"/>
      <c r="FFG1" s="84"/>
      <c r="FFH1" s="84"/>
      <c r="FFI1" s="84"/>
      <c r="FFJ1" s="84"/>
      <c r="FFK1" s="84"/>
      <c r="FFL1" s="84"/>
      <c r="FFM1" s="84"/>
      <c r="FFN1" s="84"/>
      <c r="FFO1" s="84"/>
      <c r="FFP1" s="84"/>
      <c r="FFQ1" s="84"/>
      <c r="FFR1" s="84"/>
      <c r="FFS1" s="84"/>
      <c r="FFT1" s="84"/>
      <c r="FFU1" s="84"/>
      <c r="FFV1" s="84"/>
      <c r="FFW1" s="84"/>
      <c r="FFX1" s="84"/>
      <c r="FFY1" s="84"/>
      <c r="FFZ1" s="84"/>
      <c r="FGA1" s="84"/>
      <c r="FGB1" s="84"/>
      <c r="FGC1" s="84"/>
      <c r="FGD1" s="84"/>
      <c r="FGE1" s="84"/>
      <c r="FGF1" s="84"/>
      <c r="FGG1" s="84"/>
      <c r="FGH1" s="84"/>
      <c r="FGI1" s="84"/>
      <c r="FGJ1" s="84"/>
      <c r="FGK1" s="84"/>
      <c r="FGL1" s="84"/>
      <c r="FGM1" s="84"/>
      <c r="FGN1" s="84"/>
      <c r="FGO1" s="84"/>
      <c r="FGP1" s="84"/>
      <c r="FGQ1" s="84"/>
      <c r="FGR1" s="84"/>
      <c r="FGS1" s="84"/>
      <c r="FGT1" s="84"/>
      <c r="FGU1" s="84"/>
      <c r="FGV1" s="84"/>
      <c r="FGW1" s="84"/>
      <c r="FGX1" s="84"/>
      <c r="FGY1" s="84"/>
      <c r="FGZ1" s="84"/>
      <c r="FHA1" s="84"/>
      <c r="FHB1" s="84"/>
      <c r="FHC1" s="84"/>
      <c r="FHD1" s="84"/>
      <c r="FHE1" s="84"/>
      <c r="FHF1" s="84"/>
      <c r="FHG1" s="84"/>
      <c r="FHH1" s="84"/>
      <c r="FHI1" s="84"/>
      <c r="FHJ1" s="84"/>
      <c r="FHK1" s="84"/>
      <c r="FHL1" s="84"/>
      <c r="FHM1" s="84"/>
      <c r="FHN1" s="84"/>
      <c r="FHO1" s="84"/>
      <c r="FHP1" s="84"/>
      <c r="FHQ1" s="84"/>
      <c r="FHR1" s="84"/>
      <c r="FHS1" s="84"/>
      <c r="FHT1" s="84"/>
      <c r="FHU1" s="84"/>
      <c r="FHV1" s="84"/>
      <c r="FHW1" s="84"/>
      <c r="FHX1" s="84"/>
      <c r="FHY1" s="84"/>
      <c r="FHZ1" s="84"/>
      <c r="FIA1" s="84"/>
      <c r="FIB1" s="84"/>
      <c r="FIC1" s="84"/>
      <c r="FID1" s="84"/>
      <c r="FIE1" s="84"/>
      <c r="FIF1" s="84"/>
      <c r="FIG1" s="84"/>
      <c r="FIH1" s="84"/>
      <c r="FII1" s="84"/>
      <c r="FIJ1" s="84"/>
      <c r="FIK1" s="84"/>
      <c r="FIL1" s="84"/>
      <c r="FIM1" s="84"/>
      <c r="FIN1" s="84"/>
      <c r="FIO1" s="84"/>
      <c r="FIP1" s="84"/>
      <c r="FIQ1" s="84"/>
      <c r="FIR1" s="84"/>
      <c r="FIS1" s="84"/>
      <c r="FIT1" s="84"/>
      <c r="FIU1" s="84"/>
      <c r="FIV1" s="84"/>
      <c r="FIW1" s="84"/>
      <c r="FIX1" s="84"/>
      <c r="FIY1" s="84"/>
      <c r="FIZ1" s="84"/>
      <c r="FJA1" s="84"/>
      <c r="FJB1" s="84"/>
      <c r="FJC1" s="84"/>
      <c r="FJD1" s="84"/>
      <c r="FJE1" s="84"/>
      <c r="FJF1" s="84"/>
      <c r="FJG1" s="84"/>
      <c r="FJH1" s="84"/>
      <c r="FJI1" s="84"/>
      <c r="FJJ1" s="84"/>
      <c r="FJK1" s="84"/>
      <c r="FJL1" s="84"/>
      <c r="FJM1" s="84"/>
      <c r="FJN1" s="84"/>
      <c r="FJO1" s="84"/>
      <c r="FJP1" s="84"/>
      <c r="FJQ1" s="84"/>
      <c r="FJR1" s="84"/>
      <c r="FJS1" s="84"/>
      <c r="FJT1" s="84"/>
      <c r="FJU1" s="84"/>
      <c r="FJV1" s="84"/>
      <c r="FJW1" s="84"/>
      <c r="FJX1" s="84"/>
      <c r="FJY1" s="84"/>
      <c r="FJZ1" s="84"/>
      <c r="FKA1" s="84"/>
      <c r="FKB1" s="84"/>
      <c r="FKC1" s="84"/>
      <c r="FKD1" s="84"/>
      <c r="FKE1" s="84"/>
      <c r="FKF1" s="84"/>
      <c r="FKG1" s="84"/>
      <c r="FKH1" s="84"/>
      <c r="FKI1" s="84"/>
      <c r="FKJ1" s="84"/>
      <c r="FKK1" s="84"/>
      <c r="FKL1" s="84"/>
      <c r="FKM1" s="84"/>
      <c r="FKN1" s="84"/>
      <c r="FKO1" s="84"/>
      <c r="FKP1" s="84"/>
      <c r="FKQ1" s="84"/>
      <c r="FKR1" s="84"/>
      <c r="FKS1" s="84"/>
      <c r="FKT1" s="84"/>
      <c r="FKU1" s="84"/>
      <c r="FKV1" s="84"/>
      <c r="FKW1" s="84"/>
      <c r="FKX1" s="84"/>
      <c r="FKY1" s="84"/>
      <c r="FKZ1" s="84"/>
      <c r="FLA1" s="84"/>
      <c r="FLB1" s="84"/>
      <c r="FLC1" s="84"/>
      <c r="FLD1" s="84"/>
      <c r="FLE1" s="84"/>
      <c r="FLF1" s="84"/>
      <c r="FLG1" s="84"/>
      <c r="FLH1" s="84"/>
      <c r="FLI1" s="84"/>
      <c r="FLJ1" s="84"/>
      <c r="FLK1" s="84"/>
      <c r="FLL1" s="84"/>
      <c r="FLM1" s="84"/>
      <c r="FLN1" s="84"/>
      <c r="FLO1" s="84"/>
      <c r="FLP1" s="84"/>
      <c r="FLQ1" s="84"/>
      <c r="FLR1" s="84"/>
      <c r="FLS1" s="84"/>
      <c r="FLT1" s="84"/>
      <c r="FLU1" s="84"/>
      <c r="FLV1" s="84"/>
      <c r="FLW1" s="84"/>
      <c r="FLX1" s="84"/>
      <c r="FLY1" s="84"/>
      <c r="FLZ1" s="84"/>
      <c r="FMA1" s="84"/>
      <c r="FMB1" s="84"/>
      <c r="FMC1" s="84"/>
      <c r="FMD1" s="84"/>
      <c r="FME1" s="84"/>
      <c r="FMF1" s="84"/>
      <c r="FMG1" s="84"/>
      <c r="FMH1" s="84"/>
      <c r="FMI1" s="84"/>
      <c r="FMJ1" s="84"/>
      <c r="FMK1" s="84"/>
      <c r="FML1" s="84"/>
      <c r="FMM1" s="84"/>
      <c r="FMN1" s="84"/>
      <c r="FMO1" s="84"/>
      <c r="FMP1" s="84"/>
      <c r="FMQ1" s="84"/>
      <c r="FMR1" s="84"/>
      <c r="FMS1" s="84"/>
      <c r="FMT1" s="84"/>
      <c r="FMU1" s="84"/>
      <c r="FMV1" s="84"/>
      <c r="FMW1" s="84"/>
      <c r="FMX1" s="84"/>
      <c r="FMY1" s="84"/>
      <c r="FMZ1" s="84"/>
      <c r="FNA1" s="84"/>
      <c r="FNB1" s="84"/>
      <c r="FNC1" s="84"/>
      <c r="FND1" s="84"/>
      <c r="FNE1" s="84"/>
      <c r="FNF1" s="84"/>
      <c r="FNG1" s="84"/>
      <c r="FNH1" s="84"/>
      <c r="FNI1" s="84"/>
      <c r="FNJ1" s="84"/>
      <c r="FNK1" s="84"/>
      <c r="FNL1" s="84"/>
      <c r="FNM1" s="84"/>
      <c r="FNN1" s="84"/>
      <c r="FNO1" s="84"/>
      <c r="FNP1" s="84"/>
      <c r="FNQ1" s="84"/>
      <c r="FNR1" s="84"/>
      <c r="FNS1" s="84"/>
      <c r="FNT1" s="84"/>
      <c r="FNU1" s="84"/>
      <c r="FNV1" s="84"/>
      <c r="FNW1" s="84"/>
      <c r="FNX1" s="84"/>
      <c r="FNY1" s="84"/>
      <c r="FNZ1" s="84"/>
      <c r="FOA1" s="84"/>
      <c r="FOB1" s="84"/>
      <c r="FOC1" s="84"/>
      <c r="FOD1" s="84"/>
      <c r="FOE1" s="84"/>
      <c r="FOF1" s="84"/>
      <c r="FOG1" s="84"/>
      <c r="FOH1" s="84"/>
      <c r="FOI1" s="84"/>
      <c r="FOJ1" s="84"/>
      <c r="FOK1" s="84"/>
      <c r="FOL1" s="84"/>
      <c r="FOM1" s="84"/>
      <c r="FON1" s="84"/>
      <c r="FOO1" s="84"/>
      <c r="FOP1" s="84"/>
      <c r="FOQ1" s="84"/>
      <c r="FOR1" s="84"/>
      <c r="FOS1" s="84"/>
      <c r="FOT1" s="84"/>
      <c r="FOU1" s="84"/>
      <c r="FOV1" s="84"/>
      <c r="FOW1" s="84"/>
      <c r="FOX1" s="84"/>
      <c r="FOY1" s="84"/>
      <c r="FOZ1" s="84"/>
      <c r="FPA1" s="84"/>
      <c r="FPB1" s="84"/>
      <c r="FPC1" s="84"/>
      <c r="FPD1" s="84"/>
      <c r="FPE1" s="84"/>
      <c r="FPF1" s="84"/>
      <c r="FPG1" s="84"/>
      <c r="FPH1" s="84"/>
      <c r="FPI1" s="84"/>
      <c r="FPJ1" s="84"/>
      <c r="FPK1" s="84"/>
      <c r="FPL1" s="84"/>
      <c r="FPM1" s="84"/>
      <c r="FPN1" s="84"/>
      <c r="FPO1" s="84"/>
      <c r="FPP1" s="84"/>
      <c r="FPQ1" s="84"/>
      <c r="FPR1" s="84"/>
      <c r="FPS1" s="84"/>
      <c r="FPT1" s="84"/>
      <c r="FPU1" s="84"/>
      <c r="FPV1" s="84"/>
      <c r="FPW1" s="84"/>
      <c r="FPX1" s="84"/>
      <c r="FPY1" s="84"/>
      <c r="FPZ1" s="84"/>
      <c r="FQA1" s="84"/>
      <c r="FQB1" s="84"/>
      <c r="FQC1" s="84"/>
      <c r="FQD1" s="84"/>
      <c r="FQE1" s="84"/>
      <c r="FQF1" s="84"/>
      <c r="FQG1" s="84"/>
      <c r="FQH1" s="84"/>
      <c r="FQI1" s="84"/>
      <c r="FQJ1" s="84"/>
      <c r="FQK1" s="84"/>
      <c r="FQL1" s="84"/>
      <c r="FQM1" s="84"/>
      <c r="FQN1" s="84"/>
      <c r="FQO1" s="84"/>
      <c r="FQP1" s="84"/>
      <c r="FQQ1" s="84"/>
      <c r="FQR1" s="84"/>
      <c r="FQS1" s="84"/>
      <c r="FQT1" s="84"/>
      <c r="FQU1" s="84"/>
      <c r="FQV1" s="84"/>
      <c r="FQW1" s="84"/>
      <c r="FQX1" s="84"/>
      <c r="FQY1" s="84"/>
      <c r="FQZ1" s="84"/>
      <c r="FRA1" s="84"/>
      <c r="FRB1" s="84"/>
      <c r="FRC1" s="84"/>
      <c r="FRD1" s="84"/>
      <c r="FRE1" s="84"/>
      <c r="FRF1" s="84"/>
      <c r="FRG1" s="84"/>
      <c r="FRH1" s="84"/>
      <c r="FRI1" s="84"/>
      <c r="FRJ1" s="84"/>
      <c r="FRK1" s="84"/>
      <c r="FRL1" s="84"/>
      <c r="FRM1" s="84"/>
      <c r="FRN1" s="84"/>
      <c r="FRO1" s="84"/>
      <c r="FRP1" s="84"/>
      <c r="FRQ1" s="84"/>
      <c r="FRR1" s="84"/>
      <c r="FRS1" s="84"/>
      <c r="FRT1" s="84"/>
      <c r="FRU1" s="84"/>
      <c r="FRV1" s="84"/>
      <c r="FRW1" s="84"/>
      <c r="FRX1" s="84"/>
      <c r="FRY1" s="84"/>
      <c r="FRZ1" s="84"/>
      <c r="FSA1" s="84"/>
      <c r="FSB1" s="84"/>
      <c r="FSC1" s="84"/>
      <c r="FSD1" s="84"/>
      <c r="FSE1" s="84"/>
      <c r="FSF1" s="84"/>
      <c r="FSG1" s="84"/>
      <c r="FSH1" s="84"/>
      <c r="FSI1" s="84"/>
      <c r="FSJ1" s="84"/>
      <c r="FSK1" s="84"/>
      <c r="FSL1" s="84"/>
      <c r="FSM1" s="84"/>
      <c r="FSN1" s="84"/>
      <c r="FSO1" s="84"/>
      <c r="FSP1" s="84"/>
      <c r="FSQ1" s="84"/>
      <c r="FSR1" s="84"/>
      <c r="FSS1" s="84"/>
      <c r="FST1" s="84"/>
      <c r="FSU1" s="84"/>
      <c r="FSV1" s="84"/>
      <c r="FSW1" s="84"/>
      <c r="FSX1" s="84"/>
      <c r="FSY1" s="84"/>
      <c r="FSZ1" s="84"/>
      <c r="FTA1" s="84"/>
      <c r="FTB1" s="84"/>
      <c r="FTC1" s="84"/>
      <c r="FTD1" s="84"/>
      <c r="FTE1" s="84"/>
      <c r="FTF1" s="84"/>
      <c r="FTG1" s="84"/>
      <c r="FTH1" s="84"/>
      <c r="FTI1" s="84"/>
      <c r="FTJ1" s="84"/>
      <c r="FTK1" s="84"/>
      <c r="FTL1" s="84"/>
      <c r="FTM1" s="84"/>
      <c r="FTN1" s="84"/>
      <c r="FTO1" s="84"/>
      <c r="FTP1" s="84"/>
      <c r="FTQ1" s="84"/>
      <c r="FTR1" s="84"/>
      <c r="FTS1" s="84"/>
      <c r="FTT1" s="84"/>
      <c r="FTU1" s="84"/>
      <c r="FTV1" s="84"/>
      <c r="FTW1" s="84"/>
      <c r="FTX1" s="84"/>
      <c r="FTY1" s="84"/>
      <c r="FTZ1" s="84"/>
      <c r="FUA1" s="84"/>
      <c r="FUB1" s="84"/>
      <c r="FUC1" s="84"/>
      <c r="FUD1" s="84"/>
      <c r="FUE1" s="84"/>
      <c r="FUF1" s="84"/>
      <c r="FUG1" s="84"/>
      <c r="FUH1" s="84"/>
      <c r="FUI1" s="84"/>
      <c r="FUJ1" s="84"/>
      <c r="FUK1" s="84"/>
      <c r="FUL1" s="84"/>
      <c r="FUM1" s="84"/>
      <c r="FUN1" s="84"/>
      <c r="FUO1" s="84"/>
      <c r="FUP1" s="84"/>
      <c r="FUQ1" s="84"/>
      <c r="FUR1" s="84"/>
      <c r="FUS1" s="84"/>
      <c r="FUT1" s="84"/>
      <c r="FUU1" s="84"/>
      <c r="FUV1" s="84"/>
      <c r="FUW1" s="84"/>
      <c r="FUX1" s="84"/>
      <c r="FUY1" s="84"/>
      <c r="FUZ1" s="84"/>
      <c r="FVA1" s="84"/>
      <c r="FVB1" s="84"/>
      <c r="FVC1" s="84"/>
      <c r="FVD1" s="84"/>
      <c r="FVE1" s="84"/>
      <c r="FVF1" s="84"/>
      <c r="FVG1" s="84"/>
      <c r="FVH1" s="84"/>
      <c r="FVI1" s="84"/>
      <c r="FVJ1" s="84"/>
      <c r="FVK1" s="84"/>
      <c r="FVL1" s="84"/>
      <c r="FVM1" s="84"/>
      <c r="FVN1" s="84"/>
      <c r="FVO1" s="84"/>
      <c r="FVP1" s="84"/>
      <c r="FVQ1" s="84"/>
      <c r="FVR1" s="84"/>
      <c r="FVS1" s="84"/>
      <c r="FVT1" s="84"/>
      <c r="FVU1" s="84"/>
      <c r="FVV1" s="84"/>
      <c r="FVW1" s="84"/>
      <c r="FVX1" s="84"/>
      <c r="FVY1" s="84"/>
      <c r="FVZ1" s="84"/>
      <c r="FWA1" s="84"/>
      <c r="FWB1" s="84"/>
      <c r="FWC1" s="84"/>
      <c r="FWD1" s="84"/>
      <c r="FWE1" s="84"/>
      <c r="FWF1" s="84"/>
      <c r="FWG1" s="84"/>
      <c r="FWH1" s="84"/>
      <c r="FWI1" s="84"/>
      <c r="FWJ1" s="84"/>
      <c r="FWK1" s="84"/>
      <c r="FWL1" s="84"/>
      <c r="FWM1" s="84"/>
      <c r="FWN1" s="84"/>
      <c r="FWO1" s="84"/>
      <c r="FWP1" s="84"/>
      <c r="FWQ1" s="84"/>
      <c r="FWR1" s="84"/>
      <c r="FWS1" s="84"/>
      <c r="FWT1" s="84"/>
      <c r="FWU1" s="84"/>
      <c r="FWV1" s="84"/>
      <c r="FWW1" s="84"/>
      <c r="FWX1" s="84"/>
      <c r="FWY1" s="84"/>
      <c r="FWZ1" s="84"/>
      <c r="FXA1" s="84"/>
      <c r="FXB1" s="84"/>
      <c r="FXC1" s="84"/>
      <c r="FXD1" s="84"/>
      <c r="FXE1" s="84"/>
      <c r="FXF1" s="84"/>
      <c r="FXG1" s="84"/>
      <c r="FXH1" s="84"/>
      <c r="FXI1" s="84"/>
      <c r="FXJ1" s="84"/>
      <c r="FXK1" s="84"/>
      <c r="FXL1" s="84"/>
      <c r="FXM1" s="84"/>
      <c r="FXN1" s="84"/>
      <c r="FXO1" s="84"/>
      <c r="FXP1" s="84"/>
      <c r="FXQ1" s="84"/>
      <c r="FXR1" s="84"/>
      <c r="FXS1" s="84"/>
      <c r="FXT1" s="84"/>
      <c r="FXU1" s="84"/>
      <c r="FXV1" s="84"/>
      <c r="FXW1" s="84"/>
      <c r="FXX1" s="84"/>
      <c r="FXY1" s="84"/>
      <c r="FXZ1" s="84"/>
      <c r="FYA1" s="84"/>
      <c r="FYB1" s="84"/>
      <c r="FYC1" s="84"/>
      <c r="FYD1" s="84"/>
      <c r="FYE1" s="84"/>
      <c r="FYF1" s="84"/>
      <c r="FYG1" s="84"/>
      <c r="FYH1" s="84"/>
      <c r="FYI1" s="84"/>
      <c r="FYJ1" s="84"/>
      <c r="FYK1" s="84"/>
      <c r="FYL1" s="84"/>
      <c r="FYM1" s="84"/>
      <c r="FYN1" s="84"/>
      <c r="FYO1" s="84"/>
      <c r="FYP1" s="84"/>
      <c r="FYQ1" s="84"/>
      <c r="FYR1" s="84"/>
      <c r="FYS1" s="84"/>
      <c r="FYT1" s="84"/>
      <c r="FYU1" s="84"/>
      <c r="FYV1" s="84"/>
      <c r="FYW1" s="84"/>
      <c r="FYX1" s="84"/>
      <c r="FYY1" s="84"/>
      <c r="FYZ1" s="84"/>
      <c r="FZA1" s="84"/>
      <c r="FZB1" s="84"/>
      <c r="FZC1" s="84"/>
      <c r="FZD1" s="84"/>
      <c r="FZE1" s="84"/>
      <c r="FZF1" s="84"/>
      <c r="FZG1" s="84"/>
      <c r="FZH1" s="84"/>
      <c r="FZI1" s="84"/>
      <c r="FZJ1" s="84"/>
      <c r="FZK1" s="84"/>
      <c r="FZL1" s="84"/>
      <c r="FZM1" s="84"/>
      <c r="FZN1" s="84"/>
      <c r="FZO1" s="84"/>
      <c r="FZP1" s="84"/>
      <c r="FZQ1" s="84"/>
      <c r="FZR1" s="84"/>
      <c r="FZS1" s="84"/>
      <c r="FZT1" s="84"/>
      <c r="FZU1" s="84"/>
      <c r="FZV1" s="84"/>
      <c r="FZW1" s="84"/>
      <c r="FZX1" s="84"/>
      <c r="FZY1" s="84"/>
      <c r="FZZ1" s="84"/>
      <c r="GAA1" s="84"/>
      <c r="GAB1" s="84"/>
      <c r="GAC1" s="84"/>
      <c r="GAD1" s="84"/>
      <c r="GAE1" s="84"/>
      <c r="GAF1" s="84"/>
      <c r="GAG1" s="84"/>
      <c r="GAH1" s="84"/>
      <c r="GAI1" s="84"/>
      <c r="GAJ1" s="84"/>
      <c r="GAK1" s="84"/>
      <c r="GAL1" s="84"/>
      <c r="GAM1" s="84"/>
      <c r="GAN1" s="84"/>
      <c r="GAO1" s="84"/>
      <c r="GAP1" s="84"/>
      <c r="GAQ1" s="84"/>
      <c r="GAR1" s="84"/>
      <c r="GAS1" s="84"/>
      <c r="GAT1" s="84"/>
      <c r="GAU1" s="84"/>
      <c r="GAV1" s="84"/>
      <c r="GAW1" s="84"/>
      <c r="GAX1" s="84"/>
      <c r="GAY1" s="84"/>
      <c r="GAZ1" s="84"/>
      <c r="GBA1" s="84"/>
      <c r="GBB1" s="84"/>
      <c r="GBC1" s="84"/>
      <c r="GBD1" s="84"/>
      <c r="GBE1" s="84"/>
      <c r="GBF1" s="84"/>
      <c r="GBG1" s="84"/>
      <c r="GBH1" s="84"/>
      <c r="GBI1" s="84"/>
      <c r="GBJ1" s="84"/>
      <c r="GBK1" s="84"/>
      <c r="GBL1" s="84"/>
      <c r="GBM1" s="84"/>
      <c r="GBN1" s="84"/>
      <c r="GBO1" s="84"/>
      <c r="GBP1" s="84"/>
      <c r="GBQ1" s="84"/>
      <c r="GBR1" s="84"/>
      <c r="GBS1" s="84"/>
      <c r="GBT1" s="84"/>
      <c r="GBU1" s="84"/>
      <c r="GBV1" s="84"/>
      <c r="GBW1" s="84"/>
      <c r="GBX1" s="84"/>
      <c r="GBY1" s="84"/>
      <c r="GBZ1" s="84"/>
      <c r="GCA1" s="84"/>
      <c r="GCB1" s="84"/>
      <c r="GCC1" s="84"/>
      <c r="GCD1" s="84"/>
      <c r="GCE1" s="84"/>
      <c r="GCF1" s="84"/>
      <c r="GCG1" s="84"/>
      <c r="GCH1" s="84"/>
      <c r="GCI1" s="84"/>
      <c r="GCJ1" s="84"/>
      <c r="GCK1" s="84"/>
      <c r="GCL1" s="84"/>
      <c r="GCM1" s="84"/>
      <c r="GCN1" s="84"/>
      <c r="GCO1" s="84"/>
      <c r="GCP1" s="84"/>
      <c r="GCQ1" s="84"/>
      <c r="GCR1" s="84"/>
      <c r="GCS1" s="84"/>
      <c r="GCT1" s="84"/>
      <c r="GCU1" s="84"/>
      <c r="GCV1" s="84"/>
      <c r="GCW1" s="84"/>
      <c r="GCX1" s="84"/>
      <c r="GCY1" s="84"/>
      <c r="GCZ1" s="84"/>
      <c r="GDA1" s="84"/>
      <c r="GDB1" s="84"/>
      <c r="GDC1" s="84"/>
      <c r="GDD1" s="84"/>
      <c r="GDE1" s="84"/>
      <c r="GDF1" s="84"/>
      <c r="GDG1" s="84"/>
      <c r="GDH1" s="84"/>
      <c r="GDI1" s="84"/>
      <c r="GDJ1" s="84"/>
      <c r="GDK1" s="84"/>
      <c r="GDL1" s="84"/>
      <c r="GDM1" s="84"/>
      <c r="GDN1" s="84"/>
      <c r="GDO1" s="84"/>
      <c r="GDP1" s="84"/>
      <c r="GDQ1" s="84"/>
      <c r="GDR1" s="84"/>
      <c r="GDS1" s="84"/>
      <c r="GDT1" s="84"/>
      <c r="GDU1" s="84"/>
      <c r="GDV1" s="84"/>
      <c r="GDW1" s="84"/>
      <c r="GDX1" s="84"/>
      <c r="GDY1" s="84"/>
      <c r="GDZ1" s="84"/>
      <c r="GEA1" s="84"/>
      <c r="GEB1" s="84"/>
      <c r="GEC1" s="84"/>
      <c r="GED1" s="84"/>
      <c r="GEE1" s="84"/>
      <c r="GEF1" s="84"/>
      <c r="GEG1" s="84"/>
      <c r="GEH1" s="84"/>
      <c r="GEI1" s="84"/>
      <c r="GEJ1" s="84"/>
      <c r="GEK1" s="84"/>
      <c r="GEL1" s="84"/>
      <c r="GEM1" s="84"/>
      <c r="GEN1" s="84"/>
      <c r="GEO1" s="84"/>
      <c r="GEP1" s="84"/>
      <c r="GEQ1" s="84"/>
      <c r="GER1" s="84"/>
      <c r="GES1" s="84"/>
      <c r="GET1" s="84"/>
      <c r="GEU1" s="84"/>
      <c r="GEV1" s="84"/>
      <c r="GEW1" s="84"/>
      <c r="GEX1" s="84"/>
      <c r="GEY1" s="84"/>
      <c r="GEZ1" s="84"/>
      <c r="GFA1" s="84"/>
      <c r="GFB1" s="84"/>
      <c r="GFC1" s="84"/>
      <c r="GFD1" s="84"/>
      <c r="GFE1" s="84"/>
      <c r="GFF1" s="84"/>
      <c r="GFG1" s="84"/>
      <c r="GFH1" s="84"/>
      <c r="GFI1" s="84"/>
      <c r="GFJ1" s="84"/>
      <c r="GFK1" s="84"/>
      <c r="GFL1" s="84"/>
      <c r="GFM1" s="84"/>
      <c r="GFN1" s="84"/>
      <c r="GFO1" s="84"/>
      <c r="GFP1" s="84"/>
      <c r="GFQ1" s="84"/>
      <c r="GFR1" s="84"/>
      <c r="GFS1" s="84"/>
      <c r="GFT1" s="84"/>
      <c r="GFU1" s="84"/>
      <c r="GFV1" s="84"/>
      <c r="GFW1" s="84"/>
      <c r="GFX1" s="84"/>
      <c r="GFY1" s="84"/>
      <c r="GFZ1" s="84"/>
      <c r="GGA1" s="84"/>
      <c r="GGB1" s="84"/>
      <c r="GGC1" s="84"/>
      <c r="GGD1" s="84"/>
      <c r="GGE1" s="84"/>
      <c r="GGF1" s="84"/>
      <c r="GGG1" s="84"/>
      <c r="GGH1" s="84"/>
      <c r="GGI1" s="84"/>
      <c r="GGJ1" s="84"/>
      <c r="GGK1" s="84"/>
      <c r="GGL1" s="84"/>
      <c r="GGM1" s="84"/>
      <c r="GGN1" s="84"/>
      <c r="GGO1" s="84"/>
      <c r="GGP1" s="84"/>
      <c r="GGQ1" s="84"/>
      <c r="GGR1" s="84"/>
      <c r="GGS1" s="84"/>
      <c r="GGT1" s="84"/>
      <c r="GGU1" s="84"/>
      <c r="GGV1" s="84"/>
      <c r="GGW1" s="84"/>
      <c r="GGX1" s="84"/>
      <c r="GGY1" s="84"/>
      <c r="GGZ1" s="84"/>
      <c r="GHA1" s="84"/>
      <c r="GHB1" s="84"/>
      <c r="GHC1" s="84"/>
      <c r="GHD1" s="84"/>
      <c r="GHE1" s="84"/>
      <c r="GHF1" s="84"/>
      <c r="GHG1" s="84"/>
      <c r="GHH1" s="84"/>
      <c r="GHI1" s="84"/>
      <c r="GHJ1" s="84"/>
      <c r="GHK1" s="84"/>
      <c r="GHL1" s="84"/>
      <c r="GHM1" s="84"/>
      <c r="GHN1" s="84"/>
      <c r="GHO1" s="84"/>
      <c r="GHP1" s="84"/>
      <c r="GHQ1" s="84"/>
      <c r="GHR1" s="84"/>
      <c r="GHS1" s="84"/>
      <c r="GHT1" s="84"/>
      <c r="GHU1" s="84"/>
      <c r="GHV1" s="84"/>
      <c r="GHW1" s="84"/>
      <c r="GHX1" s="84"/>
      <c r="GHY1" s="84"/>
      <c r="GHZ1" s="84"/>
      <c r="GIA1" s="84"/>
      <c r="GIB1" s="84"/>
      <c r="GIC1" s="84"/>
      <c r="GID1" s="84"/>
      <c r="GIE1" s="84"/>
      <c r="GIF1" s="84"/>
      <c r="GIG1" s="84"/>
      <c r="GIH1" s="84"/>
      <c r="GII1" s="84"/>
      <c r="GIJ1" s="84"/>
      <c r="GIK1" s="84"/>
      <c r="GIL1" s="84"/>
      <c r="GIM1" s="84"/>
      <c r="GIN1" s="84"/>
      <c r="GIO1" s="84"/>
      <c r="GIP1" s="84"/>
      <c r="GIQ1" s="84"/>
      <c r="GIR1" s="84"/>
      <c r="GIS1" s="84"/>
      <c r="GIT1" s="84"/>
      <c r="GIU1" s="84"/>
      <c r="GIV1" s="84"/>
      <c r="GIW1" s="84"/>
      <c r="GIX1" s="84"/>
      <c r="GIY1" s="84"/>
      <c r="GIZ1" s="84"/>
      <c r="GJA1" s="84"/>
      <c r="GJB1" s="84"/>
      <c r="GJC1" s="84"/>
      <c r="GJD1" s="84"/>
      <c r="GJE1" s="84"/>
      <c r="GJF1" s="84"/>
      <c r="GJG1" s="84"/>
      <c r="GJH1" s="84"/>
      <c r="GJI1" s="84"/>
      <c r="GJJ1" s="84"/>
      <c r="GJK1" s="84"/>
      <c r="GJL1" s="84"/>
      <c r="GJM1" s="84"/>
      <c r="GJN1" s="84"/>
      <c r="GJO1" s="84"/>
      <c r="GJP1" s="84"/>
      <c r="GJQ1" s="84"/>
      <c r="GJR1" s="84"/>
      <c r="GJS1" s="84"/>
      <c r="GJT1" s="84"/>
      <c r="GJU1" s="84"/>
      <c r="GJV1" s="84"/>
      <c r="GJW1" s="84"/>
      <c r="GJX1" s="84"/>
      <c r="GJY1" s="84"/>
      <c r="GJZ1" s="84"/>
      <c r="GKA1" s="84"/>
      <c r="GKB1" s="84"/>
      <c r="GKC1" s="84"/>
      <c r="GKD1" s="84"/>
      <c r="GKE1" s="84"/>
      <c r="GKF1" s="84"/>
      <c r="GKG1" s="84"/>
      <c r="GKH1" s="84"/>
      <c r="GKI1" s="84"/>
      <c r="GKJ1" s="84"/>
      <c r="GKK1" s="84"/>
      <c r="GKL1" s="84"/>
      <c r="GKM1" s="84"/>
      <c r="GKN1" s="84"/>
      <c r="GKO1" s="84"/>
      <c r="GKP1" s="84"/>
      <c r="GKQ1" s="84"/>
      <c r="GKR1" s="84"/>
      <c r="GKS1" s="84"/>
      <c r="GKT1" s="84"/>
      <c r="GKU1" s="84"/>
      <c r="GKV1" s="84"/>
      <c r="GKW1" s="84"/>
      <c r="GKX1" s="84"/>
      <c r="GKY1" s="84"/>
      <c r="GKZ1" s="84"/>
      <c r="GLA1" s="84"/>
      <c r="GLB1" s="84"/>
      <c r="GLC1" s="84"/>
      <c r="GLD1" s="84"/>
      <c r="GLE1" s="84"/>
      <c r="GLF1" s="84"/>
      <c r="GLG1" s="84"/>
      <c r="GLH1" s="84"/>
      <c r="GLI1" s="84"/>
      <c r="GLJ1" s="84"/>
      <c r="GLK1" s="84"/>
      <c r="GLL1" s="84"/>
      <c r="GLM1" s="84"/>
      <c r="GLN1" s="84"/>
      <c r="GLO1" s="84"/>
      <c r="GLP1" s="84"/>
      <c r="GLQ1" s="84"/>
      <c r="GLR1" s="84"/>
      <c r="GLS1" s="84"/>
      <c r="GLT1" s="84"/>
      <c r="GLU1" s="84"/>
      <c r="GLV1" s="84"/>
      <c r="GLW1" s="84"/>
      <c r="GLX1" s="84"/>
      <c r="GLY1" s="84"/>
      <c r="GLZ1" s="84"/>
      <c r="GMA1" s="84"/>
      <c r="GMB1" s="84"/>
      <c r="GMC1" s="84"/>
      <c r="GMD1" s="84"/>
      <c r="GME1" s="84"/>
      <c r="GMF1" s="84"/>
      <c r="GMG1" s="84"/>
      <c r="GMH1" s="84"/>
      <c r="GMI1" s="84"/>
      <c r="GMJ1" s="84"/>
      <c r="GMK1" s="84"/>
      <c r="GML1" s="84"/>
      <c r="GMM1" s="84"/>
      <c r="GMN1" s="84"/>
      <c r="GMO1" s="84"/>
      <c r="GMP1" s="84"/>
      <c r="GMQ1" s="84"/>
      <c r="GMR1" s="84"/>
      <c r="GMS1" s="84"/>
      <c r="GMT1" s="84"/>
      <c r="GMU1" s="84"/>
      <c r="GMV1" s="84"/>
      <c r="GMW1" s="84"/>
      <c r="GMX1" s="84"/>
      <c r="GMY1" s="84"/>
      <c r="GMZ1" s="84"/>
      <c r="GNA1" s="84"/>
      <c r="GNB1" s="84"/>
      <c r="GNC1" s="84"/>
      <c r="GND1" s="84"/>
      <c r="GNE1" s="84"/>
      <c r="GNF1" s="84"/>
      <c r="GNG1" s="84"/>
      <c r="GNH1" s="84"/>
      <c r="GNI1" s="84"/>
      <c r="GNJ1" s="84"/>
      <c r="GNK1" s="84"/>
      <c r="GNL1" s="84"/>
      <c r="GNM1" s="84"/>
      <c r="GNN1" s="84"/>
      <c r="GNO1" s="84"/>
      <c r="GNP1" s="84"/>
      <c r="GNQ1" s="84"/>
      <c r="GNR1" s="84"/>
      <c r="GNS1" s="84"/>
      <c r="GNT1" s="84"/>
      <c r="GNU1" s="84"/>
      <c r="GNV1" s="84"/>
      <c r="GNW1" s="84"/>
      <c r="GNX1" s="84"/>
      <c r="GNY1" s="84"/>
      <c r="GNZ1" s="84"/>
      <c r="GOA1" s="84"/>
      <c r="GOB1" s="84"/>
      <c r="GOC1" s="84"/>
      <c r="GOD1" s="84"/>
      <c r="GOE1" s="84"/>
      <c r="GOF1" s="84"/>
      <c r="GOG1" s="84"/>
      <c r="GOH1" s="84"/>
      <c r="GOI1" s="84"/>
      <c r="GOJ1" s="84"/>
      <c r="GOK1" s="84"/>
      <c r="GOL1" s="84"/>
      <c r="GOM1" s="84"/>
      <c r="GON1" s="84"/>
      <c r="GOO1" s="84"/>
      <c r="GOP1" s="84"/>
      <c r="GOQ1" s="84"/>
      <c r="GOR1" s="84"/>
      <c r="GOS1" s="84"/>
      <c r="GOT1" s="84"/>
      <c r="GOU1" s="84"/>
      <c r="GOV1" s="84"/>
      <c r="GOW1" s="84"/>
      <c r="GOX1" s="84"/>
      <c r="GOY1" s="84"/>
      <c r="GOZ1" s="84"/>
      <c r="GPA1" s="84"/>
      <c r="GPB1" s="84"/>
      <c r="GPC1" s="84"/>
      <c r="GPD1" s="84"/>
      <c r="GPE1" s="84"/>
      <c r="GPF1" s="84"/>
      <c r="GPG1" s="84"/>
      <c r="GPH1" s="84"/>
      <c r="GPI1" s="84"/>
      <c r="GPJ1" s="84"/>
      <c r="GPK1" s="84"/>
      <c r="GPL1" s="84"/>
      <c r="GPM1" s="84"/>
      <c r="GPN1" s="84"/>
      <c r="GPO1" s="84"/>
      <c r="GPP1" s="84"/>
      <c r="GPQ1" s="84"/>
      <c r="GPR1" s="84"/>
      <c r="GPS1" s="84"/>
      <c r="GPT1" s="84"/>
      <c r="GPU1" s="84"/>
      <c r="GPV1" s="84"/>
      <c r="GPW1" s="84"/>
      <c r="GPX1" s="84"/>
      <c r="GPY1" s="84"/>
      <c r="GPZ1" s="84"/>
      <c r="GQA1" s="84"/>
      <c r="GQB1" s="84"/>
      <c r="GQC1" s="84"/>
      <c r="GQD1" s="84"/>
      <c r="GQE1" s="84"/>
      <c r="GQF1" s="84"/>
      <c r="GQG1" s="84"/>
      <c r="GQH1" s="84"/>
      <c r="GQI1" s="84"/>
      <c r="GQJ1" s="84"/>
      <c r="GQK1" s="84"/>
      <c r="GQL1" s="84"/>
      <c r="GQM1" s="84"/>
      <c r="GQN1" s="84"/>
      <c r="GQO1" s="84"/>
      <c r="GQP1" s="84"/>
      <c r="GQQ1" s="84"/>
      <c r="GQR1" s="84"/>
      <c r="GQS1" s="84"/>
      <c r="GQT1" s="84"/>
      <c r="GQU1" s="84"/>
      <c r="GQV1" s="84"/>
      <c r="GQW1" s="84"/>
      <c r="GQX1" s="84"/>
      <c r="GQY1" s="84"/>
      <c r="GQZ1" s="84"/>
      <c r="GRA1" s="84"/>
      <c r="GRB1" s="84"/>
      <c r="GRC1" s="84"/>
      <c r="GRD1" s="84"/>
      <c r="GRE1" s="84"/>
      <c r="GRF1" s="84"/>
      <c r="GRG1" s="84"/>
      <c r="GRH1" s="84"/>
      <c r="GRI1" s="84"/>
      <c r="GRJ1" s="84"/>
      <c r="GRK1" s="84"/>
      <c r="GRL1" s="84"/>
      <c r="GRM1" s="84"/>
      <c r="GRN1" s="84"/>
      <c r="GRO1" s="84"/>
      <c r="GRP1" s="84"/>
      <c r="GRQ1" s="84"/>
      <c r="GRR1" s="84"/>
      <c r="GRS1" s="84"/>
      <c r="GRT1" s="84"/>
      <c r="GRU1" s="84"/>
      <c r="GRV1" s="84"/>
      <c r="GRW1" s="84"/>
      <c r="GRX1" s="84"/>
      <c r="GRY1" s="84"/>
      <c r="GRZ1" s="84"/>
      <c r="GSA1" s="84"/>
      <c r="GSB1" s="84"/>
      <c r="GSC1" s="84"/>
      <c r="GSD1" s="84"/>
      <c r="GSE1" s="84"/>
      <c r="GSF1" s="84"/>
      <c r="GSG1" s="84"/>
      <c r="GSH1" s="84"/>
      <c r="GSI1" s="84"/>
      <c r="GSJ1" s="84"/>
      <c r="GSK1" s="84"/>
      <c r="GSL1" s="84"/>
      <c r="GSM1" s="84"/>
      <c r="GSN1" s="84"/>
      <c r="GSO1" s="84"/>
      <c r="GSP1" s="84"/>
      <c r="GSQ1" s="84"/>
      <c r="GSR1" s="84"/>
      <c r="GSS1" s="84"/>
      <c r="GST1" s="84"/>
      <c r="GSU1" s="84"/>
      <c r="GSV1" s="84"/>
      <c r="GSW1" s="84"/>
      <c r="GSX1" s="84"/>
      <c r="GSY1" s="84"/>
      <c r="GSZ1" s="84"/>
      <c r="GTA1" s="84"/>
      <c r="GTB1" s="84"/>
      <c r="GTC1" s="84"/>
      <c r="GTD1" s="84"/>
      <c r="GTE1" s="84"/>
      <c r="GTF1" s="84"/>
      <c r="GTG1" s="84"/>
      <c r="GTH1" s="84"/>
      <c r="GTI1" s="84"/>
      <c r="GTJ1" s="84"/>
      <c r="GTK1" s="84"/>
      <c r="GTL1" s="84"/>
      <c r="GTM1" s="84"/>
      <c r="GTN1" s="84"/>
      <c r="GTO1" s="84"/>
      <c r="GTP1" s="84"/>
      <c r="GTQ1" s="84"/>
      <c r="GTR1" s="84"/>
      <c r="GTS1" s="84"/>
      <c r="GTT1" s="84"/>
      <c r="GTU1" s="84"/>
      <c r="GTV1" s="84"/>
      <c r="GTW1" s="84"/>
      <c r="GTX1" s="84"/>
      <c r="GTY1" s="84"/>
      <c r="GTZ1" s="84"/>
      <c r="GUA1" s="84"/>
      <c r="GUB1" s="84"/>
      <c r="GUC1" s="84"/>
      <c r="GUD1" s="84"/>
      <c r="GUE1" s="84"/>
      <c r="GUF1" s="84"/>
      <c r="GUG1" s="84"/>
      <c r="GUH1" s="84"/>
      <c r="GUI1" s="84"/>
      <c r="GUJ1" s="84"/>
      <c r="GUK1" s="84"/>
      <c r="GUL1" s="84"/>
      <c r="GUM1" s="84"/>
      <c r="GUN1" s="84"/>
      <c r="GUO1" s="84"/>
      <c r="GUP1" s="84"/>
      <c r="GUQ1" s="84"/>
      <c r="GUR1" s="84"/>
      <c r="GUS1" s="84"/>
      <c r="GUT1" s="84"/>
      <c r="GUU1" s="84"/>
      <c r="GUV1" s="84"/>
      <c r="GUW1" s="84"/>
      <c r="GUX1" s="84"/>
      <c r="GUY1" s="84"/>
      <c r="GUZ1" s="84"/>
      <c r="GVA1" s="84"/>
      <c r="GVB1" s="84"/>
      <c r="GVC1" s="84"/>
      <c r="GVD1" s="84"/>
      <c r="GVE1" s="84"/>
      <c r="GVF1" s="84"/>
      <c r="GVG1" s="84"/>
      <c r="GVH1" s="84"/>
      <c r="GVI1" s="84"/>
      <c r="GVJ1" s="84"/>
      <c r="GVK1" s="84"/>
      <c r="GVL1" s="84"/>
      <c r="GVM1" s="84"/>
      <c r="GVN1" s="84"/>
      <c r="GVO1" s="84"/>
      <c r="GVP1" s="84"/>
      <c r="GVQ1" s="84"/>
      <c r="GVR1" s="84"/>
      <c r="GVS1" s="84"/>
      <c r="GVT1" s="84"/>
      <c r="GVU1" s="84"/>
      <c r="GVV1" s="84"/>
      <c r="GVW1" s="84"/>
      <c r="GVX1" s="84"/>
      <c r="GVY1" s="84"/>
      <c r="GVZ1" s="84"/>
      <c r="GWA1" s="84"/>
      <c r="GWB1" s="84"/>
      <c r="GWC1" s="84"/>
      <c r="GWD1" s="84"/>
      <c r="GWE1" s="84"/>
      <c r="GWF1" s="84"/>
      <c r="GWG1" s="84"/>
      <c r="GWH1" s="84"/>
      <c r="GWI1" s="84"/>
      <c r="GWJ1" s="84"/>
      <c r="GWK1" s="84"/>
      <c r="GWL1" s="84"/>
      <c r="GWM1" s="84"/>
      <c r="GWN1" s="84"/>
      <c r="GWO1" s="84"/>
      <c r="GWP1" s="84"/>
      <c r="GWQ1" s="84"/>
      <c r="GWR1" s="84"/>
      <c r="GWS1" s="84"/>
      <c r="GWT1" s="84"/>
      <c r="GWU1" s="84"/>
      <c r="GWV1" s="84"/>
      <c r="GWW1" s="84"/>
      <c r="GWX1" s="84"/>
      <c r="GWY1" s="84"/>
      <c r="GWZ1" s="84"/>
      <c r="GXA1" s="84"/>
      <c r="GXB1" s="84"/>
      <c r="GXC1" s="84"/>
      <c r="GXD1" s="84"/>
      <c r="GXE1" s="84"/>
      <c r="GXF1" s="84"/>
      <c r="GXG1" s="84"/>
      <c r="GXH1" s="84"/>
      <c r="GXI1" s="84"/>
      <c r="GXJ1" s="84"/>
      <c r="GXK1" s="84"/>
      <c r="GXL1" s="84"/>
      <c r="GXM1" s="84"/>
      <c r="GXN1" s="84"/>
      <c r="GXO1" s="84"/>
      <c r="GXP1" s="84"/>
      <c r="GXQ1" s="84"/>
      <c r="GXR1" s="84"/>
      <c r="GXS1" s="84"/>
      <c r="GXT1" s="84"/>
      <c r="GXU1" s="84"/>
      <c r="GXV1" s="84"/>
      <c r="GXW1" s="84"/>
      <c r="GXX1" s="84"/>
      <c r="GXY1" s="84"/>
      <c r="GXZ1" s="84"/>
      <c r="GYA1" s="84"/>
      <c r="GYB1" s="84"/>
      <c r="GYC1" s="84"/>
      <c r="GYD1" s="84"/>
      <c r="GYE1" s="84"/>
      <c r="GYF1" s="84"/>
      <c r="GYG1" s="84"/>
      <c r="GYH1" s="84"/>
      <c r="GYI1" s="84"/>
      <c r="GYJ1" s="84"/>
      <c r="GYK1" s="84"/>
      <c r="GYL1" s="84"/>
      <c r="GYM1" s="84"/>
      <c r="GYN1" s="84"/>
      <c r="GYO1" s="84"/>
      <c r="GYP1" s="84"/>
      <c r="GYQ1" s="84"/>
      <c r="GYR1" s="84"/>
      <c r="GYS1" s="84"/>
      <c r="GYT1" s="84"/>
      <c r="GYU1" s="84"/>
      <c r="GYV1" s="84"/>
      <c r="GYW1" s="84"/>
      <c r="GYX1" s="84"/>
      <c r="GYY1" s="84"/>
      <c r="GYZ1" s="84"/>
      <c r="GZA1" s="84"/>
      <c r="GZB1" s="84"/>
      <c r="GZC1" s="84"/>
      <c r="GZD1" s="84"/>
      <c r="GZE1" s="84"/>
      <c r="GZF1" s="84"/>
      <c r="GZG1" s="84"/>
      <c r="GZH1" s="84"/>
      <c r="GZI1" s="84"/>
      <c r="GZJ1" s="84"/>
      <c r="GZK1" s="84"/>
      <c r="GZL1" s="84"/>
      <c r="GZM1" s="84"/>
      <c r="GZN1" s="84"/>
      <c r="GZO1" s="84"/>
      <c r="GZP1" s="84"/>
      <c r="GZQ1" s="84"/>
      <c r="GZR1" s="84"/>
      <c r="GZS1" s="84"/>
      <c r="GZT1" s="84"/>
      <c r="GZU1" s="84"/>
      <c r="GZV1" s="84"/>
      <c r="GZW1" s="84"/>
      <c r="GZX1" s="84"/>
      <c r="GZY1" s="84"/>
      <c r="GZZ1" s="84"/>
      <c r="HAA1" s="84"/>
      <c r="HAB1" s="84"/>
      <c r="HAC1" s="84"/>
      <c r="HAD1" s="84"/>
      <c r="HAE1" s="84"/>
      <c r="HAF1" s="84"/>
      <c r="HAG1" s="84"/>
      <c r="HAH1" s="84"/>
      <c r="HAI1" s="84"/>
      <c r="HAJ1" s="84"/>
      <c r="HAK1" s="84"/>
      <c r="HAL1" s="84"/>
      <c r="HAM1" s="84"/>
      <c r="HAN1" s="84"/>
      <c r="HAO1" s="84"/>
      <c r="HAP1" s="84"/>
      <c r="HAQ1" s="84"/>
      <c r="HAR1" s="84"/>
      <c r="HAS1" s="84"/>
      <c r="HAT1" s="84"/>
      <c r="HAU1" s="84"/>
      <c r="HAV1" s="84"/>
      <c r="HAW1" s="84"/>
      <c r="HAX1" s="84"/>
      <c r="HAY1" s="84"/>
      <c r="HAZ1" s="84"/>
      <c r="HBA1" s="84"/>
      <c r="HBB1" s="84"/>
      <c r="HBC1" s="84"/>
      <c r="HBD1" s="84"/>
      <c r="HBE1" s="84"/>
      <c r="HBF1" s="84"/>
      <c r="HBG1" s="84"/>
      <c r="HBH1" s="84"/>
      <c r="HBI1" s="84"/>
      <c r="HBJ1" s="84"/>
      <c r="HBK1" s="84"/>
      <c r="HBL1" s="84"/>
      <c r="HBM1" s="84"/>
      <c r="HBN1" s="84"/>
      <c r="HBO1" s="84"/>
      <c r="HBP1" s="84"/>
      <c r="HBQ1" s="84"/>
      <c r="HBR1" s="84"/>
      <c r="HBS1" s="84"/>
      <c r="HBT1" s="84"/>
      <c r="HBU1" s="84"/>
      <c r="HBV1" s="84"/>
      <c r="HBW1" s="84"/>
      <c r="HBX1" s="84"/>
      <c r="HBY1" s="84"/>
      <c r="HBZ1" s="84"/>
      <c r="HCA1" s="84"/>
      <c r="HCB1" s="84"/>
      <c r="HCC1" s="84"/>
      <c r="HCD1" s="84"/>
      <c r="HCE1" s="84"/>
      <c r="HCF1" s="84"/>
      <c r="HCG1" s="84"/>
      <c r="HCH1" s="84"/>
      <c r="HCI1" s="84"/>
      <c r="HCJ1" s="84"/>
      <c r="HCK1" s="84"/>
      <c r="HCL1" s="84"/>
      <c r="HCM1" s="84"/>
      <c r="HCN1" s="84"/>
      <c r="HCO1" s="84"/>
      <c r="HCP1" s="84"/>
      <c r="HCQ1" s="84"/>
      <c r="HCR1" s="84"/>
      <c r="HCS1" s="84"/>
      <c r="HCT1" s="84"/>
      <c r="HCU1" s="84"/>
      <c r="HCV1" s="84"/>
      <c r="HCW1" s="84"/>
      <c r="HCX1" s="84"/>
      <c r="HCY1" s="84"/>
      <c r="HCZ1" s="84"/>
      <c r="HDA1" s="84"/>
      <c r="HDB1" s="84"/>
      <c r="HDC1" s="84"/>
      <c r="HDD1" s="84"/>
      <c r="HDE1" s="84"/>
      <c r="HDF1" s="84"/>
      <c r="HDG1" s="84"/>
      <c r="HDH1" s="84"/>
      <c r="HDI1" s="84"/>
      <c r="HDJ1" s="84"/>
      <c r="HDK1" s="84"/>
      <c r="HDL1" s="84"/>
      <c r="HDM1" s="84"/>
      <c r="HDN1" s="84"/>
      <c r="HDO1" s="84"/>
      <c r="HDP1" s="84"/>
      <c r="HDQ1" s="84"/>
      <c r="HDR1" s="84"/>
      <c r="HDS1" s="84"/>
      <c r="HDT1" s="84"/>
      <c r="HDU1" s="84"/>
      <c r="HDV1" s="84"/>
      <c r="HDW1" s="84"/>
      <c r="HDX1" s="84"/>
      <c r="HDY1" s="84"/>
      <c r="HDZ1" s="84"/>
      <c r="HEA1" s="84"/>
      <c r="HEB1" s="84"/>
      <c r="HEC1" s="84"/>
      <c r="HED1" s="84"/>
      <c r="HEE1" s="84"/>
      <c r="HEF1" s="84"/>
      <c r="HEG1" s="84"/>
      <c r="HEH1" s="84"/>
      <c r="HEI1" s="84"/>
      <c r="HEJ1" s="84"/>
      <c r="HEK1" s="84"/>
      <c r="HEL1" s="84"/>
      <c r="HEM1" s="84"/>
      <c r="HEN1" s="84"/>
      <c r="HEO1" s="84"/>
      <c r="HEP1" s="84"/>
      <c r="HEQ1" s="84"/>
      <c r="HER1" s="84"/>
      <c r="HES1" s="84"/>
      <c r="HET1" s="84"/>
      <c r="HEU1" s="84"/>
      <c r="HEV1" s="84"/>
      <c r="HEW1" s="84"/>
      <c r="HEX1" s="84"/>
      <c r="HEY1" s="84"/>
      <c r="HEZ1" s="84"/>
      <c r="HFA1" s="84"/>
      <c r="HFB1" s="84"/>
      <c r="HFC1" s="84"/>
      <c r="HFD1" s="84"/>
      <c r="HFE1" s="84"/>
      <c r="HFF1" s="84"/>
      <c r="HFG1" s="84"/>
      <c r="HFH1" s="84"/>
      <c r="HFI1" s="84"/>
      <c r="HFJ1" s="84"/>
      <c r="HFK1" s="84"/>
      <c r="HFL1" s="84"/>
      <c r="HFM1" s="84"/>
      <c r="HFN1" s="84"/>
      <c r="HFO1" s="84"/>
      <c r="HFP1" s="84"/>
      <c r="HFQ1" s="84"/>
      <c r="HFR1" s="84"/>
      <c r="HFS1" s="84"/>
      <c r="HFT1" s="84"/>
      <c r="HFU1" s="84"/>
      <c r="HFV1" s="84"/>
      <c r="HFW1" s="84"/>
      <c r="HFX1" s="84"/>
      <c r="HFY1" s="84"/>
      <c r="HFZ1" s="84"/>
      <c r="HGA1" s="84"/>
      <c r="HGB1" s="84"/>
      <c r="HGC1" s="84"/>
      <c r="HGD1" s="84"/>
      <c r="HGE1" s="84"/>
      <c r="HGF1" s="84"/>
      <c r="HGG1" s="84"/>
      <c r="HGH1" s="84"/>
      <c r="HGI1" s="84"/>
      <c r="HGJ1" s="84"/>
      <c r="HGK1" s="84"/>
      <c r="HGL1" s="84"/>
      <c r="HGM1" s="84"/>
      <c r="HGN1" s="84"/>
      <c r="HGO1" s="84"/>
      <c r="HGP1" s="84"/>
      <c r="HGQ1" s="84"/>
      <c r="HGR1" s="84"/>
      <c r="HGS1" s="84"/>
      <c r="HGT1" s="84"/>
      <c r="HGU1" s="84"/>
      <c r="HGV1" s="84"/>
      <c r="HGW1" s="84"/>
      <c r="HGX1" s="84"/>
      <c r="HGY1" s="84"/>
      <c r="HGZ1" s="84"/>
      <c r="HHA1" s="84"/>
      <c r="HHB1" s="84"/>
      <c r="HHC1" s="84"/>
      <c r="HHD1" s="84"/>
      <c r="HHE1" s="84"/>
      <c r="HHF1" s="84"/>
      <c r="HHG1" s="84"/>
      <c r="HHH1" s="84"/>
      <c r="HHI1" s="84"/>
      <c r="HHJ1" s="84"/>
      <c r="HHK1" s="84"/>
      <c r="HHL1" s="84"/>
      <c r="HHM1" s="84"/>
      <c r="HHN1" s="84"/>
      <c r="HHO1" s="84"/>
      <c r="HHP1" s="84"/>
      <c r="HHQ1" s="84"/>
      <c r="HHR1" s="84"/>
      <c r="HHS1" s="84"/>
      <c r="HHT1" s="84"/>
      <c r="HHU1" s="84"/>
      <c r="HHV1" s="84"/>
      <c r="HHW1" s="84"/>
      <c r="HHX1" s="84"/>
      <c r="HHY1" s="84"/>
      <c r="HHZ1" s="84"/>
      <c r="HIA1" s="84"/>
      <c r="HIB1" s="84"/>
      <c r="HIC1" s="84"/>
      <c r="HID1" s="84"/>
      <c r="HIE1" s="84"/>
      <c r="HIF1" s="84"/>
      <c r="HIG1" s="84"/>
      <c r="HIH1" s="84"/>
      <c r="HII1" s="84"/>
      <c r="HIJ1" s="84"/>
      <c r="HIK1" s="84"/>
      <c r="HIL1" s="84"/>
      <c r="HIM1" s="84"/>
      <c r="HIN1" s="84"/>
      <c r="HIO1" s="84"/>
      <c r="HIP1" s="84"/>
      <c r="HIQ1" s="84"/>
      <c r="HIR1" s="84"/>
      <c r="HIS1" s="84"/>
      <c r="HIT1" s="84"/>
      <c r="HIU1" s="84"/>
      <c r="HIV1" s="84"/>
      <c r="HIW1" s="84"/>
      <c r="HIX1" s="84"/>
      <c r="HIY1" s="84"/>
      <c r="HIZ1" s="84"/>
      <c r="HJA1" s="84"/>
      <c r="HJB1" s="84"/>
      <c r="HJC1" s="84"/>
      <c r="HJD1" s="84"/>
      <c r="HJE1" s="84"/>
      <c r="HJF1" s="84"/>
      <c r="HJG1" s="84"/>
      <c r="HJH1" s="84"/>
      <c r="HJI1" s="84"/>
      <c r="HJJ1" s="84"/>
      <c r="HJK1" s="84"/>
      <c r="HJL1" s="84"/>
      <c r="HJM1" s="84"/>
      <c r="HJN1" s="84"/>
      <c r="HJO1" s="84"/>
      <c r="HJP1" s="84"/>
      <c r="HJQ1" s="84"/>
      <c r="HJR1" s="84"/>
      <c r="HJS1" s="84"/>
      <c r="HJT1" s="84"/>
      <c r="HJU1" s="84"/>
      <c r="HJV1" s="84"/>
      <c r="HJW1" s="84"/>
      <c r="HJX1" s="84"/>
      <c r="HJY1" s="84"/>
      <c r="HJZ1" s="84"/>
      <c r="HKA1" s="84"/>
      <c r="HKB1" s="84"/>
      <c r="HKC1" s="84"/>
      <c r="HKD1" s="84"/>
      <c r="HKE1" s="84"/>
      <c r="HKF1" s="84"/>
      <c r="HKG1" s="84"/>
      <c r="HKH1" s="84"/>
      <c r="HKI1" s="84"/>
      <c r="HKJ1" s="84"/>
      <c r="HKK1" s="84"/>
      <c r="HKL1" s="84"/>
      <c r="HKM1" s="84"/>
      <c r="HKN1" s="84"/>
      <c r="HKO1" s="84"/>
      <c r="HKP1" s="84"/>
      <c r="HKQ1" s="84"/>
      <c r="HKR1" s="84"/>
      <c r="HKS1" s="84"/>
      <c r="HKT1" s="84"/>
      <c r="HKU1" s="84"/>
      <c r="HKV1" s="84"/>
      <c r="HKW1" s="84"/>
      <c r="HKX1" s="84"/>
      <c r="HKY1" s="84"/>
      <c r="HKZ1" s="84"/>
      <c r="HLA1" s="84"/>
      <c r="HLB1" s="84"/>
      <c r="HLC1" s="84"/>
      <c r="HLD1" s="84"/>
      <c r="HLE1" s="84"/>
      <c r="HLF1" s="84"/>
      <c r="HLG1" s="84"/>
      <c r="HLH1" s="84"/>
      <c r="HLI1" s="84"/>
      <c r="HLJ1" s="84"/>
      <c r="HLK1" s="84"/>
      <c r="HLL1" s="84"/>
      <c r="HLM1" s="84"/>
      <c r="HLN1" s="84"/>
      <c r="HLO1" s="84"/>
      <c r="HLP1" s="84"/>
      <c r="HLQ1" s="84"/>
      <c r="HLR1" s="84"/>
      <c r="HLS1" s="84"/>
      <c r="HLT1" s="84"/>
      <c r="HLU1" s="84"/>
      <c r="HLV1" s="84"/>
      <c r="HLW1" s="84"/>
      <c r="HLX1" s="84"/>
      <c r="HLY1" s="84"/>
      <c r="HLZ1" s="84"/>
      <c r="HMA1" s="84"/>
      <c r="HMB1" s="84"/>
      <c r="HMC1" s="84"/>
      <c r="HMD1" s="84"/>
      <c r="HME1" s="84"/>
      <c r="HMF1" s="84"/>
      <c r="HMG1" s="84"/>
      <c r="HMH1" s="84"/>
      <c r="HMI1" s="84"/>
      <c r="HMJ1" s="84"/>
      <c r="HMK1" s="84"/>
      <c r="HML1" s="84"/>
      <c r="HMM1" s="84"/>
      <c r="HMN1" s="84"/>
      <c r="HMO1" s="84"/>
      <c r="HMP1" s="84"/>
      <c r="HMQ1" s="84"/>
      <c r="HMR1" s="84"/>
      <c r="HMS1" s="84"/>
      <c r="HMT1" s="84"/>
      <c r="HMU1" s="84"/>
      <c r="HMV1" s="84"/>
      <c r="HMW1" s="84"/>
      <c r="HMX1" s="84"/>
      <c r="HMY1" s="84"/>
      <c r="HMZ1" s="84"/>
      <c r="HNA1" s="84"/>
      <c r="HNB1" s="84"/>
      <c r="HNC1" s="84"/>
      <c r="HND1" s="84"/>
      <c r="HNE1" s="84"/>
      <c r="HNF1" s="84"/>
      <c r="HNG1" s="84"/>
      <c r="HNH1" s="84"/>
      <c r="HNI1" s="84"/>
      <c r="HNJ1" s="84"/>
      <c r="HNK1" s="84"/>
      <c r="HNL1" s="84"/>
      <c r="HNM1" s="84"/>
      <c r="HNN1" s="84"/>
      <c r="HNO1" s="84"/>
      <c r="HNP1" s="84"/>
      <c r="HNQ1" s="84"/>
      <c r="HNR1" s="84"/>
      <c r="HNS1" s="84"/>
      <c r="HNT1" s="84"/>
      <c r="HNU1" s="84"/>
      <c r="HNV1" s="84"/>
      <c r="HNW1" s="84"/>
      <c r="HNX1" s="84"/>
      <c r="HNY1" s="84"/>
      <c r="HNZ1" s="84"/>
      <c r="HOA1" s="84"/>
      <c r="HOB1" s="84"/>
      <c r="HOC1" s="84"/>
      <c r="HOD1" s="84"/>
      <c r="HOE1" s="84"/>
      <c r="HOF1" s="84"/>
      <c r="HOG1" s="84"/>
      <c r="HOH1" s="84"/>
      <c r="HOI1" s="84"/>
      <c r="HOJ1" s="84"/>
      <c r="HOK1" s="84"/>
      <c r="HOL1" s="84"/>
      <c r="HOM1" s="84"/>
      <c r="HON1" s="84"/>
      <c r="HOO1" s="84"/>
      <c r="HOP1" s="84"/>
      <c r="HOQ1" s="84"/>
      <c r="HOR1" s="84"/>
      <c r="HOS1" s="84"/>
      <c r="HOT1" s="84"/>
      <c r="HOU1" s="84"/>
      <c r="HOV1" s="84"/>
      <c r="HOW1" s="84"/>
      <c r="HOX1" s="84"/>
      <c r="HOY1" s="84"/>
      <c r="HOZ1" s="84"/>
      <c r="HPA1" s="84"/>
      <c r="HPB1" s="84"/>
      <c r="HPC1" s="84"/>
      <c r="HPD1" s="84"/>
      <c r="HPE1" s="84"/>
      <c r="HPF1" s="84"/>
      <c r="HPG1" s="84"/>
      <c r="HPH1" s="84"/>
      <c r="HPI1" s="84"/>
      <c r="HPJ1" s="84"/>
      <c r="HPK1" s="84"/>
      <c r="HPL1" s="84"/>
      <c r="HPM1" s="84"/>
      <c r="HPN1" s="84"/>
      <c r="HPO1" s="84"/>
      <c r="HPP1" s="84"/>
      <c r="HPQ1" s="84"/>
      <c r="HPR1" s="84"/>
      <c r="HPS1" s="84"/>
      <c r="HPT1" s="84"/>
      <c r="HPU1" s="84"/>
      <c r="HPV1" s="84"/>
      <c r="HPW1" s="84"/>
      <c r="HPX1" s="84"/>
      <c r="HPY1" s="84"/>
      <c r="HPZ1" s="84"/>
      <c r="HQA1" s="84"/>
      <c r="HQB1" s="84"/>
      <c r="HQC1" s="84"/>
      <c r="HQD1" s="84"/>
      <c r="HQE1" s="84"/>
      <c r="HQF1" s="84"/>
      <c r="HQG1" s="84"/>
      <c r="HQH1" s="84"/>
      <c r="HQI1" s="84"/>
      <c r="HQJ1" s="84"/>
      <c r="HQK1" s="84"/>
      <c r="HQL1" s="84"/>
      <c r="HQM1" s="84"/>
      <c r="HQN1" s="84"/>
      <c r="HQO1" s="84"/>
      <c r="HQP1" s="84"/>
      <c r="HQQ1" s="84"/>
      <c r="HQR1" s="84"/>
      <c r="HQS1" s="84"/>
      <c r="HQT1" s="84"/>
      <c r="HQU1" s="84"/>
      <c r="HQV1" s="84"/>
      <c r="HQW1" s="84"/>
      <c r="HQX1" s="84"/>
      <c r="HQY1" s="84"/>
      <c r="HQZ1" s="84"/>
      <c r="HRA1" s="84"/>
      <c r="HRB1" s="84"/>
      <c r="HRC1" s="84"/>
      <c r="HRD1" s="84"/>
      <c r="HRE1" s="84"/>
      <c r="HRF1" s="84"/>
      <c r="HRG1" s="84"/>
      <c r="HRH1" s="84"/>
      <c r="HRI1" s="84"/>
      <c r="HRJ1" s="84"/>
      <c r="HRK1" s="84"/>
      <c r="HRL1" s="84"/>
      <c r="HRM1" s="84"/>
      <c r="HRN1" s="84"/>
      <c r="HRO1" s="84"/>
      <c r="HRP1" s="84"/>
      <c r="HRQ1" s="84"/>
      <c r="HRR1" s="84"/>
      <c r="HRS1" s="84"/>
      <c r="HRT1" s="84"/>
      <c r="HRU1" s="84"/>
      <c r="HRV1" s="84"/>
      <c r="HRW1" s="84"/>
      <c r="HRX1" s="84"/>
      <c r="HRY1" s="84"/>
      <c r="HRZ1" s="84"/>
      <c r="HSA1" s="84"/>
      <c r="HSB1" s="84"/>
      <c r="HSC1" s="84"/>
      <c r="HSD1" s="84"/>
      <c r="HSE1" s="84"/>
      <c r="HSF1" s="84"/>
      <c r="HSG1" s="84"/>
      <c r="HSH1" s="84"/>
      <c r="HSI1" s="84"/>
      <c r="HSJ1" s="84"/>
      <c r="HSK1" s="84"/>
      <c r="HSL1" s="84"/>
      <c r="HSM1" s="84"/>
      <c r="HSN1" s="84"/>
      <c r="HSO1" s="84"/>
      <c r="HSP1" s="84"/>
      <c r="HSQ1" s="84"/>
      <c r="HSR1" s="84"/>
      <c r="HSS1" s="84"/>
      <c r="HST1" s="84"/>
      <c r="HSU1" s="84"/>
      <c r="HSV1" s="84"/>
      <c r="HSW1" s="84"/>
      <c r="HSX1" s="84"/>
      <c r="HSY1" s="84"/>
      <c r="HSZ1" s="84"/>
      <c r="HTA1" s="84"/>
      <c r="HTB1" s="84"/>
      <c r="HTC1" s="84"/>
      <c r="HTD1" s="84"/>
      <c r="HTE1" s="84"/>
      <c r="HTF1" s="84"/>
      <c r="HTG1" s="84"/>
      <c r="HTH1" s="84"/>
      <c r="HTI1" s="84"/>
      <c r="HTJ1" s="84"/>
      <c r="HTK1" s="84"/>
      <c r="HTL1" s="84"/>
      <c r="HTM1" s="84"/>
      <c r="HTN1" s="84"/>
      <c r="HTO1" s="84"/>
      <c r="HTP1" s="84"/>
      <c r="HTQ1" s="84"/>
      <c r="HTR1" s="84"/>
      <c r="HTS1" s="84"/>
      <c r="HTT1" s="84"/>
      <c r="HTU1" s="84"/>
      <c r="HTV1" s="84"/>
      <c r="HTW1" s="84"/>
      <c r="HTX1" s="84"/>
      <c r="HTY1" s="84"/>
      <c r="HTZ1" s="84"/>
      <c r="HUA1" s="84"/>
      <c r="HUB1" s="84"/>
      <c r="HUC1" s="84"/>
      <c r="HUD1" s="84"/>
      <c r="HUE1" s="84"/>
      <c r="HUF1" s="84"/>
      <c r="HUG1" s="84"/>
      <c r="HUH1" s="84"/>
      <c r="HUI1" s="84"/>
      <c r="HUJ1" s="84"/>
      <c r="HUK1" s="84"/>
      <c r="HUL1" s="84"/>
      <c r="HUM1" s="84"/>
      <c r="HUN1" s="84"/>
      <c r="HUO1" s="84"/>
      <c r="HUP1" s="84"/>
      <c r="HUQ1" s="84"/>
      <c r="HUR1" s="84"/>
      <c r="HUS1" s="84"/>
      <c r="HUT1" s="84"/>
      <c r="HUU1" s="84"/>
      <c r="HUV1" s="84"/>
      <c r="HUW1" s="84"/>
      <c r="HUX1" s="84"/>
      <c r="HUY1" s="84"/>
      <c r="HUZ1" s="84"/>
      <c r="HVA1" s="84"/>
      <c r="HVB1" s="84"/>
      <c r="HVC1" s="84"/>
      <c r="HVD1" s="84"/>
      <c r="HVE1" s="84"/>
      <c r="HVF1" s="84"/>
      <c r="HVG1" s="84"/>
      <c r="HVH1" s="84"/>
      <c r="HVI1" s="84"/>
      <c r="HVJ1" s="84"/>
      <c r="HVK1" s="84"/>
      <c r="HVL1" s="84"/>
      <c r="HVM1" s="84"/>
      <c r="HVN1" s="84"/>
      <c r="HVO1" s="84"/>
      <c r="HVP1" s="84"/>
      <c r="HVQ1" s="84"/>
      <c r="HVR1" s="84"/>
      <c r="HVS1" s="84"/>
      <c r="HVT1" s="84"/>
      <c r="HVU1" s="84"/>
      <c r="HVV1" s="84"/>
      <c r="HVW1" s="84"/>
      <c r="HVX1" s="84"/>
      <c r="HVY1" s="84"/>
      <c r="HVZ1" s="84"/>
      <c r="HWA1" s="84"/>
      <c r="HWB1" s="84"/>
      <c r="HWC1" s="84"/>
      <c r="HWD1" s="84"/>
      <c r="HWE1" s="84"/>
      <c r="HWF1" s="84"/>
      <c r="HWG1" s="84"/>
      <c r="HWH1" s="84"/>
      <c r="HWI1" s="84"/>
      <c r="HWJ1" s="84"/>
      <c r="HWK1" s="84"/>
      <c r="HWL1" s="84"/>
      <c r="HWM1" s="84"/>
      <c r="HWN1" s="84"/>
      <c r="HWO1" s="84"/>
      <c r="HWP1" s="84"/>
      <c r="HWQ1" s="84"/>
      <c r="HWR1" s="84"/>
      <c r="HWS1" s="84"/>
      <c r="HWT1" s="84"/>
      <c r="HWU1" s="84"/>
      <c r="HWV1" s="84"/>
      <c r="HWW1" s="84"/>
      <c r="HWX1" s="84"/>
      <c r="HWY1" s="84"/>
      <c r="HWZ1" s="84"/>
      <c r="HXA1" s="84"/>
      <c r="HXB1" s="84"/>
      <c r="HXC1" s="84"/>
      <c r="HXD1" s="84"/>
      <c r="HXE1" s="84"/>
      <c r="HXF1" s="84"/>
      <c r="HXG1" s="84"/>
      <c r="HXH1" s="84"/>
      <c r="HXI1" s="84"/>
      <c r="HXJ1" s="84"/>
      <c r="HXK1" s="84"/>
      <c r="HXL1" s="84"/>
      <c r="HXM1" s="84"/>
      <c r="HXN1" s="84"/>
      <c r="HXO1" s="84"/>
      <c r="HXP1" s="84"/>
      <c r="HXQ1" s="84"/>
      <c r="HXR1" s="84"/>
      <c r="HXS1" s="84"/>
      <c r="HXT1" s="84"/>
      <c r="HXU1" s="84"/>
      <c r="HXV1" s="84"/>
      <c r="HXW1" s="84"/>
      <c r="HXX1" s="84"/>
      <c r="HXY1" s="84"/>
      <c r="HXZ1" s="84"/>
      <c r="HYA1" s="84"/>
      <c r="HYB1" s="84"/>
      <c r="HYC1" s="84"/>
      <c r="HYD1" s="84"/>
      <c r="HYE1" s="84"/>
      <c r="HYF1" s="84"/>
      <c r="HYG1" s="84"/>
      <c r="HYH1" s="84"/>
      <c r="HYI1" s="84"/>
      <c r="HYJ1" s="84"/>
      <c r="HYK1" s="84"/>
      <c r="HYL1" s="84"/>
      <c r="HYM1" s="84"/>
      <c r="HYN1" s="84"/>
      <c r="HYO1" s="84"/>
      <c r="HYP1" s="84"/>
      <c r="HYQ1" s="84"/>
      <c r="HYR1" s="84"/>
      <c r="HYS1" s="84"/>
      <c r="HYT1" s="84"/>
      <c r="HYU1" s="84"/>
      <c r="HYV1" s="84"/>
      <c r="HYW1" s="84"/>
      <c r="HYX1" s="84"/>
      <c r="HYY1" s="84"/>
      <c r="HYZ1" s="84"/>
      <c r="HZA1" s="84"/>
      <c r="HZB1" s="84"/>
      <c r="HZC1" s="84"/>
      <c r="HZD1" s="84"/>
      <c r="HZE1" s="84"/>
      <c r="HZF1" s="84"/>
      <c r="HZG1" s="84"/>
      <c r="HZH1" s="84"/>
      <c r="HZI1" s="84"/>
      <c r="HZJ1" s="84"/>
      <c r="HZK1" s="84"/>
      <c r="HZL1" s="84"/>
      <c r="HZM1" s="84"/>
      <c r="HZN1" s="84"/>
      <c r="HZO1" s="84"/>
      <c r="HZP1" s="84"/>
      <c r="HZQ1" s="84"/>
      <c r="HZR1" s="84"/>
      <c r="HZS1" s="84"/>
      <c r="HZT1" s="84"/>
      <c r="HZU1" s="84"/>
      <c r="HZV1" s="84"/>
      <c r="HZW1" s="84"/>
      <c r="HZX1" s="84"/>
      <c r="HZY1" s="84"/>
      <c r="HZZ1" s="84"/>
      <c r="IAA1" s="84"/>
      <c r="IAB1" s="84"/>
      <c r="IAC1" s="84"/>
      <c r="IAD1" s="84"/>
      <c r="IAE1" s="84"/>
      <c r="IAF1" s="84"/>
      <c r="IAG1" s="84"/>
      <c r="IAH1" s="84"/>
      <c r="IAI1" s="84"/>
      <c r="IAJ1" s="84"/>
      <c r="IAK1" s="84"/>
      <c r="IAL1" s="84"/>
      <c r="IAM1" s="84"/>
      <c r="IAN1" s="84"/>
      <c r="IAO1" s="84"/>
      <c r="IAP1" s="84"/>
      <c r="IAQ1" s="84"/>
      <c r="IAR1" s="84"/>
      <c r="IAS1" s="84"/>
      <c r="IAT1" s="84"/>
      <c r="IAU1" s="84"/>
      <c r="IAV1" s="84"/>
      <c r="IAW1" s="84"/>
      <c r="IAX1" s="84"/>
      <c r="IAY1" s="84"/>
      <c r="IAZ1" s="84"/>
      <c r="IBA1" s="84"/>
      <c r="IBB1" s="84"/>
      <c r="IBC1" s="84"/>
      <c r="IBD1" s="84"/>
      <c r="IBE1" s="84"/>
      <c r="IBF1" s="84"/>
      <c r="IBG1" s="84"/>
      <c r="IBH1" s="84"/>
      <c r="IBI1" s="84"/>
      <c r="IBJ1" s="84"/>
      <c r="IBK1" s="84"/>
      <c r="IBL1" s="84"/>
      <c r="IBM1" s="84"/>
      <c r="IBN1" s="84"/>
      <c r="IBO1" s="84"/>
      <c r="IBP1" s="84"/>
      <c r="IBQ1" s="84"/>
      <c r="IBR1" s="84"/>
      <c r="IBS1" s="84"/>
      <c r="IBT1" s="84"/>
      <c r="IBU1" s="84"/>
      <c r="IBV1" s="84"/>
      <c r="IBW1" s="84"/>
      <c r="IBX1" s="84"/>
      <c r="IBY1" s="84"/>
      <c r="IBZ1" s="84"/>
      <c r="ICA1" s="84"/>
      <c r="ICB1" s="84"/>
      <c r="ICC1" s="84"/>
      <c r="ICD1" s="84"/>
      <c r="ICE1" s="84"/>
      <c r="ICF1" s="84"/>
      <c r="ICG1" s="84"/>
      <c r="ICH1" s="84"/>
      <c r="ICI1" s="84"/>
      <c r="ICJ1" s="84"/>
      <c r="ICK1" s="84"/>
      <c r="ICL1" s="84"/>
      <c r="ICM1" s="84"/>
      <c r="ICN1" s="84"/>
      <c r="ICO1" s="84"/>
      <c r="ICP1" s="84"/>
      <c r="ICQ1" s="84"/>
      <c r="ICR1" s="84"/>
      <c r="ICS1" s="84"/>
      <c r="ICT1" s="84"/>
      <c r="ICU1" s="84"/>
      <c r="ICV1" s="84"/>
      <c r="ICW1" s="84"/>
      <c r="ICX1" s="84"/>
      <c r="ICY1" s="84"/>
      <c r="ICZ1" s="84"/>
      <c r="IDA1" s="84"/>
      <c r="IDB1" s="84"/>
      <c r="IDC1" s="84"/>
      <c r="IDD1" s="84"/>
      <c r="IDE1" s="84"/>
      <c r="IDF1" s="84"/>
      <c r="IDG1" s="84"/>
      <c r="IDH1" s="84"/>
      <c r="IDI1" s="84"/>
      <c r="IDJ1" s="84"/>
      <c r="IDK1" s="84"/>
      <c r="IDL1" s="84"/>
      <c r="IDM1" s="84"/>
      <c r="IDN1" s="84"/>
      <c r="IDO1" s="84"/>
      <c r="IDP1" s="84"/>
      <c r="IDQ1" s="84"/>
      <c r="IDR1" s="84"/>
      <c r="IDS1" s="84"/>
      <c r="IDT1" s="84"/>
      <c r="IDU1" s="84"/>
      <c r="IDV1" s="84"/>
      <c r="IDW1" s="84"/>
      <c r="IDX1" s="84"/>
      <c r="IDY1" s="84"/>
      <c r="IDZ1" s="84"/>
      <c r="IEA1" s="84"/>
      <c r="IEB1" s="84"/>
      <c r="IEC1" s="84"/>
      <c r="IED1" s="84"/>
      <c r="IEE1" s="84"/>
      <c r="IEF1" s="84"/>
      <c r="IEG1" s="84"/>
      <c r="IEH1" s="84"/>
      <c r="IEI1" s="84"/>
      <c r="IEJ1" s="84"/>
      <c r="IEK1" s="84"/>
      <c r="IEL1" s="84"/>
      <c r="IEM1" s="84"/>
      <c r="IEN1" s="84"/>
      <c r="IEO1" s="84"/>
      <c r="IEP1" s="84"/>
      <c r="IEQ1" s="84"/>
      <c r="IER1" s="84"/>
      <c r="IES1" s="84"/>
      <c r="IET1" s="84"/>
      <c r="IEU1" s="84"/>
      <c r="IEV1" s="84"/>
      <c r="IEW1" s="84"/>
      <c r="IEX1" s="84"/>
      <c r="IEY1" s="84"/>
      <c r="IEZ1" s="84"/>
      <c r="IFA1" s="84"/>
      <c r="IFB1" s="84"/>
      <c r="IFC1" s="84"/>
      <c r="IFD1" s="84"/>
      <c r="IFE1" s="84"/>
      <c r="IFF1" s="84"/>
      <c r="IFG1" s="84"/>
      <c r="IFH1" s="84"/>
      <c r="IFI1" s="84"/>
      <c r="IFJ1" s="84"/>
      <c r="IFK1" s="84"/>
      <c r="IFL1" s="84"/>
      <c r="IFM1" s="84"/>
      <c r="IFN1" s="84"/>
      <c r="IFO1" s="84"/>
      <c r="IFP1" s="84"/>
      <c r="IFQ1" s="84"/>
      <c r="IFR1" s="84"/>
      <c r="IFS1" s="84"/>
      <c r="IFT1" s="84"/>
      <c r="IFU1" s="84"/>
      <c r="IFV1" s="84"/>
      <c r="IFW1" s="84"/>
      <c r="IFX1" s="84"/>
      <c r="IFY1" s="84"/>
      <c r="IFZ1" s="84"/>
      <c r="IGA1" s="84"/>
      <c r="IGB1" s="84"/>
      <c r="IGC1" s="84"/>
      <c r="IGD1" s="84"/>
      <c r="IGE1" s="84"/>
      <c r="IGF1" s="84"/>
      <c r="IGG1" s="84"/>
      <c r="IGH1" s="84"/>
      <c r="IGI1" s="84"/>
      <c r="IGJ1" s="84"/>
      <c r="IGK1" s="84"/>
      <c r="IGL1" s="84"/>
      <c r="IGM1" s="84"/>
      <c r="IGN1" s="84"/>
      <c r="IGO1" s="84"/>
      <c r="IGP1" s="84"/>
      <c r="IGQ1" s="84"/>
      <c r="IGR1" s="84"/>
      <c r="IGS1" s="84"/>
      <c r="IGT1" s="84"/>
      <c r="IGU1" s="84"/>
      <c r="IGV1" s="84"/>
      <c r="IGW1" s="84"/>
      <c r="IGX1" s="84"/>
      <c r="IGY1" s="84"/>
      <c r="IGZ1" s="84"/>
      <c r="IHA1" s="84"/>
      <c r="IHB1" s="84"/>
      <c r="IHC1" s="84"/>
      <c r="IHD1" s="84"/>
      <c r="IHE1" s="84"/>
      <c r="IHF1" s="84"/>
      <c r="IHG1" s="84"/>
      <c r="IHH1" s="84"/>
      <c r="IHI1" s="84"/>
      <c r="IHJ1" s="84"/>
      <c r="IHK1" s="84"/>
      <c r="IHL1" s="84"/>
      <c r="IHM1" s="84"/>
      <c r="IHN1" s="84"/>
      <c r="IHO1" s="84"/>
      <c r="IHP1" s="84"/>
      <c r="IHQ1" s="84"/>
      <c r="IHR1" s="84"/>
      <c r="IHS1" s="84"/>
      <c r="IHT1" s="84"/>
      <c r="IHU1" s="84"/>
      <c r="IHV1" s="84"/>
      <c r="IHW1" s="84"/>
      <c r="IHX1" s="84"/>
      <c r="IHY1" s="84"/>
      <c r="IHZ1" s="84"/>
      <c r="IIA1" s="84"/>
      <c r="IIB1" s="84"/>
      <c r="IIC1" s="84"/>
      <c r="IID1" s="84"/>
      <c r="IIE1" s="84"/>
      <c r="IIF1" s="84"/>
      <c r="IIG1" s="84"/>
      <c r="IIH1" s="84"/>
      <c r="III1" s="84"/>
      <c r="IIJ1" s="84"/>
      <c r="IIK1" s="84"/>
      <c r="IIL1" s="84"/>
      <c r="IIM1" s="84"/>
      <c r="IIN1" s="84"/>
      <c r="IIO1" s="84"/>
      <c r="IIP1" s="84"/>
      <c r="IIQ1" s="84"/>
      <c r="IIR1" s="84"/>
      <c r="IIS1" s="84"/>
      <c r="IIT1" s="84"/>
      <c r="IIU1" s="84"/>
      <c r="IIV1" s="84"/>
      <c r="IIW1" s="84"/>
      <c r="IIX1" s="84"/>
      <c r="IIY1" s="84"/>
      <c r="IIZ1" s="84"/>
      <c r="IJA1" s="84"/>
      <c r="IJB1" s="84"/>
      <c r="IJC1" s="84"/>
      <c r="IJD1" s="84"/>
      <c r="IJE1" s="84"/>
      <c r="IJF1" s="84"/>
      <c r="IJG1" s="84"/>
      <c r="IJH1" s="84"/>
      <c r="IJI1" s="84"/>
      <c r="IJJ1" s="84"/>
      <c r="IJK1" s="84"/>
      <c r="IJL1" s="84"/>
      <c r="IJM1" s="84"/>
      <c r="IJN1" s="84"/>
      <c r="IJO1" s="84"/>
      <c r="IJP1" s="84"/>
      <c r="IJQ1" s="84"/>
      <c r="IJR1" s="84"/>
      <c r="IJS1" s="84"/>
      <c r="IJT1" s="84"/>
      <c r="IJU1" s="84"/>
      <c r="IJV1" s="84"/>
      <c r="IJW1" s="84"/>
      <c r="IJX1" s="84"/>
      <c r="IJY1" s="84"/>
      <c r="IJZ1" s="84"/>
      <c r="IKA1" s="84"/>
      <c r="IKB1" s="84"/>
      <c r="IKC1" s="84"/>
      <c r="IKD1" s="84"/>
      <c r="IKE1" s="84"/>
      <c r="IKF1" s="84"/>
      <c r="IKG1" s="84"/>
      <c r="IKH1" s="84"/>
      <c r="IKI1" s="84"/>
      <c r="IKJ1" s="84"/>
      <c r="IKK1" s="84"/>
      <c r="IKL1" s="84"/>
      <c r="IKM1" s="84"/>
      <c r="IKN1" s="84"/>
      <c r="IKO1" s="84"/>
      <c r="IKP1" s="84"/>
      <c r="IKQ1" s="84"/>
      <c r="IKR1" s="84"/>
      <c r="IKS1" s="84"/>
      <c r="IKT1" s="84"/>
      <c r="IKU1" s="84"/>
      <c r="IKV1" s="84"/>
      <c r="IKW1" s="84"/>
      <c r="IKX1" s="84"/>
      <c r="IKY1" s="84"/>
      <c r="IKZ1" s="84"/>
      <c r="ILA1" s="84"/>
      <c r="ILB1" s="84"/>
      <c r="ILC1" s="84"/>
      <c r="ILD1" s="84"/>
      <c r="ILE1" s="84"/>
      <c r="ILF1" s="84"/>
      <c r="ILG1" s="84"/>
      <c r="ILH1" s="84"/>
      <c r="ILI1" s="84"/>
      <c r="ILJ1" s="84"/>
      <c r="ILK1" s="84"/>
      <c r="ILL1" s="84"/>
      <c r="ILM1" s="84"/>
      <c r="ILN1" s="84"/>
      <c r="ILO1" s="84"/>
      <c r="ILP1" s="84"/>
      <c r="ILQ1" s="84"/>
      <c r="ILR1" s="84"/>
      <c r="ILS1" s="84"/>
      <c r="ILT1" s="84"/>
      <c r="ILU1" s="84"/>
      <c r="ILV1" s="84"/>
      <c r="ILW1" s="84"/>
      <c r="ILX1" s="84"/>
      <c r="ILY1" s="84"/>
      <c r="ILZ1" s="84"/>
      <c r="IMA1" s="84"/>
      <c r="IMB1" s="84"/>
      <c r="IMC1" s="84"/>
      <c r="IMD1" s="84"/>
      <c r="IME1" s="84"/>
      <c r="IMF1" s="84"/>
      <c r="IMG1" s="84"/>
      <c r="IMH1" s="84"/>
      <c r="IMI1" s="84"/>
      <c r="IMJ1" s="84"/>
      <c r="IMK1" s="84"/>
      <c r="IML1" s="84"/>
      <c r="IMM1" s="84"/>
      <c r="IMN1" s="84"/>
      <c r="IMO1" s="84"/>
      <c r="IMP1" s="84"/>
      <c r="IMQ1" s="84"/>
      <c r="IMR1" s="84"/>
      <c r="IMS1" s="84"/>
      <c r="IMT1" s="84"/>
      <c r="IMU1" s="84"/>
      <c r="IMV1" s="84"/>
      <c r="IMW1" s="84"/>
      <c r="IMX1" s="84"/>
      <c r="IMY1" s="84"/>
      <c r="IMZ1" s="84"/>
      <c r="INA1" s="84"/>
      <c r="INB1" s="84"/>
      <c r="INC1" s="84"/>
      <c r="IND1" s="84"/>
      <c r="INE1" s="84"/>
      <c r="INF1" s="84"/>
      <c r="ING1" s="84"/>
      <c r="INH1" s="84"/>
      <c r="INI1" s="84"/>
      <c r="INJ1" s="84"/>
      <c r="INK1" s="84"/>
      <c r="INL1" s="84"/>
      <c r="INM1" s="84"/>
      <c r="INN1" s="84"/>
      <c r="INO1" s="84"/>
      <c r="INP1" s="84"/>
      <c r="INQ1" s="84"/>
      <c r="INR1" s="84"/>
      <c r="INS1" s="84"/>
      <c r="INT1" s="84"/>
      <c r="INU1" s="84"/>
      <c r="INV1" s="84"/>
      <c r="INW1" s="84"/>
      <c r="INX1" s="84"/>
      <c r="INY1" s="84"/>
      <c r="INZ1" s="84"/>
      <c r="IOA1" s="84"/>
      <c r="IOB1" s="84"/>
      <c r="IOC1" s="84"/>
      <c r="IOD1" s="84"/>
      <c r="IOE1" s="84"/>
      <c r="IOF1" s="84"/>
      <c r="IOG1" s="84"/>
      <c r="IOH1" s="84"/>
      <c r="IOI1" s="84"/>
      <c r="IOJ1" s="84"/>
      <c r="IOK1" s="84"/>
      <c r="IOL1" s="84"/>
      <c r="IOM1" s="84"/>
      <c r="ION1" s="84"/>
      <c r="IOO1" s="84"/>
      <c r="IOP1" s="84"/>
      <c r="IOQ1" s="84"/>
      <c r="IOR1" s="84"/>
      <c r="IOS1" s="84"/>
      <c r="IOT1" s="84"/>
      <c r="IOU1" s="84"/>
      <c r="IOV1" s="84"/>
      <c r="IOW1" s="84"/>
      <c r="IOX1" s="84"/>
      <c r="IOY1" s="84"/>
      <c r="IOZ1" s="84"/>
      <c r="IPA1" s="84"/>
      <c r="IPB1" s="84"/>
      <c r="IPC1" s="84"/>
      <c r="IPD1" s="84"/>
      <c r="IPE1" s="84"/>
      <c r="IPF1" s="84"/>
      <c r="IPG1" s="84"/>
      <c r="IPH1" s="84"/>
      <c r="IPI1" s="84"/>
      <c r="IPJ1" s="84"/>
      <c r="IPK1" s="84"/>
      <c r="IPL1" s="84"/>
      <c r="IPM1" s="84"/>
      <c r="IPN1" s="84"/>
      <c r="IPO1" s="84"/>
      <c r="IPP1" s="84"/>
      <c r="IPQ1" s="84"/>
      <c r="IPR1" s="84"/>
      <c r="IPS1" s="84"/>
      <c r="IPT1" s="84"/>
      <c r="IPU1" s="84"/>
      <c r="IPV1" s="84"/>
      <c r="IPW1" s="84"/>
      <c r="IPX1" s="84"/>
      <c r="IPY1" s="84"/>
      <c r="IPZ1" s="84"/>
      <c r="IQA1" s="84"/>
      <c r="IQB1" s="84"/>
      <c r="IQC1" s="84"/>
      <c r="IQD1" s="84"/>
      <c r="IQE1" s="84"/>
      <c r="IQF1" s="84"/>
      <c r="IQG1" s="84"/>
      <c r="IQH1" s="84"/>
      <c r="IQI1" s="84"/>
      <c r="IQJ1" s="84"/>
      <c r="IQK1" s="84"/>
      <c r="IQL1" s="84"/>
      <c r="IQM1" s="84"/>
      <c r="IQN1" s="84"/>
      <c r="IQO1" s="84"/>
      <c r="IQP1" s="84"/>
      <c r="IQQ1" s="84"/>
      <c r="IQR1" s="84"/>
      <c r="IQS1" s="84"/>
      <c r="IQT1" s="84"/>
      <c r="IQU1" s="84"/>
      <c r="IQV1" s="84"/>
      <c r="IQW1" s="84"/>
      <c r="IQX1" s="84"/>
      <c r="IQY1" s="84"/>
      <c r="IQZ1" s="84"/>
      <c r="IRA1" s="84"/>
      <c r="IRB1" s="84"/>
      <c r="IRC1" s="84"/>
      <c r="IRD1" s="84"/>
      <c r="IRE1" s="84"/>
      <c r="IRF1" s="84"/>
      <c r="IRG1" s="84"/>
      <c r="IRH1" s="84"/>
      <c r="IRI1" s="84"/>
      <c r="IRJ1" s="84"/>
      <c r="IRK1" s="84"/>
      <c r="IRL1" s="84"/>
      <c r="IRM1" s="84"/>
      <c r="IRN1" s="84"/>
      <c r="IRO1" s="84"/>
      <c r="IRP1" s="84"/>
      <c r="IRQ1" s="84"/>
      <c r="IRR1" s="84"/>
      <c r="IRS1" s="84"/>
      <c r="IRT1" s="84"/>
      <c r="IRU1" s="84"/>
      <c r="IRV1" s="84"/>
      <c r="IRW1" s="84"/>
      <c r="IRX1" s="84"/>
      <c r="IRY1" s="84"/>
      <c r="IRZ1" s="84"/>
      <c r="ISA1" s="84"/>
      <c r="ISB1" s="84"/>
      <c r="ISC1" s="84"/>
      <c r="ISD1" s="84"/>
      <c r="ISE1" s="84"/>
      <c r="ISF1" s="84"/>
      <c r="ISG1" s="84"/>
      <c r="ISH1" s="84"/>
      <c r="ISI1" s="84"/>
      <c r="ISJ1" s="84"/>
      <c r="ISK1" s="84"/>
      <c r="ISL1" s="84"/>
      <c r="ISM1" s="84"/>
      <c r="ISN1" s="84"/>
      <c r="ISO1" s="84"/>
      <c r="ISP1" s="84"/>
      <c r="ISQ1" s="84"/>
      <c r="ISR1" s="84"/>
      <c r="ISS1" s="84"/>
      <c r="IST1" s="84"/>
      <c r="ISU1" s="84"/>
      <c r="ISV1" s="84"/>
      <c r="ISW1" s="84"/>
      <c r="ISX1" s="84"/>
      <c r="ISY1" s="84"/>
      <c r="ISZ1" s="84"/>
      <c r="ITA1" s="84"/>
      <c r="ITB1" s="84"/>
      <c r="ITC1" s="84"/>
      <c r="ITD1" s="84"/>
      <c r="ITE1" s="84"/>
      <c r="ITF1" s="84"/>
      <c r="ITG1" s="84"/>
      <c r="ITH1" s="84"/>
      <c r="ITI1" s="84"/>
      <c r="ITJ1" s="84"/>
      <c r="ITK1" s="84"/>
      <c r="ITL1" s="84"/>
      <c r="ITM1" s="84"/>
      <c r="ITN1" s="84"/>
      <c r="ITO1" s="84"/>
      <c r="ITP1" s="84"/>
      <c r="ITQ1" s="84"/>
      <c r="ITR1" s="84"/>
      <c r="ITS1" s="84"/>
      <c r="ITT1" s="84"/>
      <c r="ITU1" s="84"/>
      <c r="ITV1" s="84"/>
      <c r="ITW1" s="84"/>
      <c r="ITX1" s="84"/>
      <c r="ITY1" s="84"/>
      <c r="ITZ1" s="84"/>
      <c r="IUA1" s="84"/>
      <c r="IUB1" s="84"/>
      <c r="IUC1" s="84"/>
      <c r="IUD1" s="84"/>
      <c r="IUE1" s="84"/>
      <c r="IUF1" s="84"/>
      <c r="IUG1" s="84"/>
      <c r="IUH1" s="84"/>
      <c r="IUI1" s="84"/>
      <c r="IUJ1" s="84"/>
      <c r="IUK1" s="84"/>
      <c r="IUL1" s="84"/>
      <c r="IUM1" s="84"/>
      <c r="IUN1" s="84"/>
      <c r="IUO1" s="84"/>
      <c r="IUP1" s="84"/>
      <c r="IUQ1" s="84"/>
      <c r="IUR1" s="84"/>
      <c r="IUS1" s="84"/>
      <c r="IUT1" s="84"/>
      <c r="IUU1" s="84"/>
      <c r="IUV1" s="84"/>
      <c r="IUW1" s="84"/>
      <c r="IUX1" s="84"/>
      <c r="IUY1" s="84"/>
      <c r="IUZ1" s="84"/>
      <c r="IVA1" s="84"/>
      <c r="IVB1" s="84"/>
      <c r="IVC1" s="84"/>
      <c r="IVD1" s="84"/>
      <c r="IVE1" s="84"/>
      <c r="IVF1" s="84"/>
      <c r="IVG1" s="84"/>
      <c r="IVH1" s="84"/>
      <c r="IVI1" s="84"/>
      <c r="IVJ1" s="84"/>
      <c r="IVK1" s="84"/>
      <c r="IVL1" s="84"/>
      <c r="IVM1" s="84"/>
      <c r="IVN1" s="84"/>
      <c r="IVO1" s="84"/>
      <c r="IVP1" s="84"/>
      <c r="IVQ1" s="84"/>
      <c r="IVR1" s="84"/>
      <c r="IVS1" s="84"/>
      <c r="IVT1" s="84"/>
      <c r="IVU1" s="84"/>
      <c r="IVV1" s="84"/>
      <c r="IVW1" s="84"/>
      <c r="IVX1" s="84"/>
      <c r="IVY1" s="84"/>
      <c r="IVZ1" s="84"/>
      <c r="IWA1" s="84"/>
      <c r="IWB1" s="84"/>
      <c r="IWC1" s="84"/>
      <c r="IWD1" s="84"/>
      <c r="IWE1" s="84"/>
      <c r="IWF1" s="84"/>
      <c r="IWG1" s="84"/>
      <c r="IWH1" s="84"/>
      <c r="IWI1" s="84"/>
      <c r="IWJ1" s="84"/>
      <c r="IWK1" s="84"/>
      <c r="IWL1" s="84"/>
      <c r="IWM1" s="84"/>
      <c r="IWN1" s="84"/>
      <c r="IWO1" s="84"/>
      <c r="IWP1" s="84"/>
      <c r="IWQ1" s="84"/>
      <c r="IWR1" s="84"/>
      <c r="IWS1" s="84"/>
      <c r="IWT1" s="84"/>
      <c r="IWU1" s="84"/>
      <c r="IWV1" s="84"/>
      <c r="IWW1" s="84"/>
      <c r="IWX1" s="84"/>
      <c r="IWY1" s="84"/>
      <c r="IWZ1" s="84"/>
      <c r="IXA1" s="84"/>
      <c r="IXB1" s="84"/>
      <c r="IXC1" s="84"/>
      <c r="IXD1" s="84"/>
      <c r="IXE1" s="84"/>
      <c r="IXF1" s="84"/>
      <c r="IXG1" s="84"/>
      <c r="IXH1" s="84"/>
      <c r="IXI1" s="84"/>
      <c r="IXJ1" s="84"/>
      <c r="IXK1" s="84"/>
      <c r="IXL1" s="84"/>
      <c r="IXM1" s="84"/>
      <c r="IXN1" s="84"/>
      <c r="IXO1" s="84"/>
      <c r="IXP1" s="84"/>
      <c r="IXQ1" s="84"/>
      <c r="IXR1" s="84"/>
      <c r="IXS1" s="84"/>
      <c r="IXT1" s="84"/>
      <c r="IXU1" s="84"/>
      <c r="IXV1" s="84"/>
      <c r="IXW1" s="84"/>
      <c r="IXX1" s="84"/>
      <c r="IXY1" s="84"/>
      <c r="IXZ1" s="84"/>
      <c r="IYA1" s="84"/>
      <c r="IYB1" s="84"/>
      <c r="IYC1" s="84"/>
      <c r="IYD1" s="84"/>
      <c r="IYE1" s="84"/>
      <c r="IYF1" s="84"/>
      <c r="IYG1" s="84"/>
      <c r="IYH1" s="84"/>
      <c r="IYI1" s="84"/>
      <c r="IYJ1" s="84"/>
      <c r="IYK1" s="84"/>
      <c r="IYL1" s="84"/>
      <c r="IYM1" s="84"/>
      <c r="IYN1" s="84"/>
      <c r="IYO1" s="84"/>
      <c r="IYP1" s="84"/>
      <c r="IYQ1" s="84"/>
      <c r="IYR1" s="84"/>
      <c r="IYS1" s="84"/>
      <c r="IYT1" s="84"/>
      <c r="IYU1" s="84"/>
      <c r="IYV1" s="84"/>
      <c r="IYW1" s="84"/>
      <c r="IYX1" s="84"/>
      <c r="IYY1" s="84"/>
      <c r="IYZ1" s="84"/>
      <c r="IZA1" s="84"/>
      <c r="IZB1" s="84"/>
      <c r="IZC1" s="84"/>
      <c r="IZD1" s="84"/>
      <c r="IZE1" s="84"/>
      <c r="IZF1" s="84"/>
      <c r="IZG1" s="84"/>
      <c r="IZH1" s="84"/>
      <c r="IZI1" s="84"/>
      <c r="IZJ1" s="84"/>
      <c r="IZK1" s="84"/>
      <c r="IZL1" s="84"/>
      <c r="IZM1" s="84"/>
      <c r="IZN1" s="84"/>
      <c r="IZO1" s="84"/>
      <c r="IZP1" s="84"/>
      <c r="IZQ1" s="84"/>
      <c r="IZR1" s="84"/>
      <c r="IZS1" s="84"/>
      <c r="IZT1" s="84"/>
      <c r="IZU1" s="84"/>
      <c r="IZV1" s="84"/>
      <c r="IZW1" s="84"/>
      <c r="IZX1" s="84"/>
      <c r="IZY1" s="84"/>
      <c r="IZZ1" s="84"/>
      <c r="JAA1" s="84"/>
      <c r="JAB1" s="84"/>
      <c r="JAC1" s="84"/>
      <c r="JAD1" s="84"/>
      <c r="JAE1" s="84"/>
      <c r="JAF1" s="84"/>
      <c r="JAG1" s="84"/>
      <c r="JAH1" s="84"/>
      <c r="JAI1" s="84"/>
      <c r="JAJ1" s="84"/>
      <c r="JAK1" s="84"/>
      <c r="JAL1" s="84"/>
      <c r="JAM1" s="84"/>
      <c r="JAN1" s="84"/>
      <c r="JAO1" s="84"/>
      <c r="JAP1" s="84"/>
      <c r="JAQ1" s="84"/>
      <c r="JAR1" s="84"/>
      <c r="JAS1" s="84"/>
      <c r="JAT1" s="84"/>
      <c r="JAU1" s="84"/>
      <c r="JAV1" s="84"/>
      <c r="JAW1" s="84"/>
      <c r="JAX1" s="84"/>
      <c r="JAY1" s="84"/>
      <c r="JAZ1" s="84"/>
      <c r="JBA1" s="84"/>
      <c r="JBB1" s="84"/>
      <c r="JBC1" s="84"/>
      <c r="JBD1" s="84"/>
      <c r="JBE1" s="84"/>
      <c r="JBF1" s="84"/>
      <c r="JBG1" s="84"/>
      <c r="JBH1" s="84"/>
      <c r="JBI1" s="84"/>
      <c r="JBJ1" s="84"/>
      <c r="JBK1" s="84"/>
      <c r="JBL1" s="84"/>
      <c r="JBM1" s="84"/>
      <c r="JBN1" s="84"/>
      <c r="JBO1" s="84"/>
      <c r="JBP1" s="84"/>
      <c r="JBQ1" s="84"/>
      <c r="JBR1" s="84"/>
      <c r="JBS1" s="84"/>
      <c r="JBT1" s="84"/>
      <c r="JBU1" s="84"/>
      <c r="JBV1" s="84"/>
      <c r="JBW1" s="84"/>
      <c r="JBX1" s="84"/>
      <c r="JBY1" s="84"/>
      <c r="JBZ1" s="84"/>
      <c r="JCA1" s="84"/>
      <c r="JCB1" s="84"/>
      <c r="JCC1" s="84"/>
      <c r="JCD1" s="84"/>
      <c r="JCE1" s="84"/>
      <c r="JCF1" s="84"/>
      <c r="JCG1" s="84"/>
      <c r="JCH1" s="84"/>
      <c r="JCI1" s="84"/>
      <c r="JCJ1" s="84"/>
      <c r="JCK1" s="84"/>
      <c r="JCL1" s="84"/>
      <c r="JCM1" s="84"/>
      <c r="JCN1" s="84"/>
      <c r="JCO1" s="84"/>
      <c r="JCP1" s="84"/>
      <c r="JCQ1" s="84"/>
      <c r="JCR1" s="84"/>
      <c r="JCS1" s="84"/>
      <c r="JCT1" s="84"/>
      <c r="JCU1" s="84"/>
      <c r="JCV1" s="84"/>
      <c r="JCW1" s="84"/>
      <c r="JCX1" s="84"/>
      <c r="JCY1" s="84"/>
      <c r="JCZ1" s="84"/>
      <c r="JDA1" s="84"/>
      <c r="JDB1" s="84"/>
      <c r="JDC1" s="84"/>
      <c r="JDD1" s="84"/>
      <c r="JDE1" s="84"/>
      <c r="JDF1" s="84"/>
      <c r="JDG1" s="84"/>
      <c r="JDH1" s="84"/>
      <c r="JDI1" s="84"/>
      <c r="JDJ1" s="84"/>
      <c r="JDK1" s="84"/>
      <c r="JDL1" s="84"/>
      <c r="JDM1" s="84"/>
      <c r="JDN1" s="84"/>
      <c r="JDO1" s="84"/>
      <c r="JDP1" s="84"/>
      <c r="JDQ1" s="84"/>
      <c r="JDR1" s="84"/>
      <c r="JDS1" s="84"/>
      <c r="JDT1" s="84"/>
      <c r="JDU1" s="84"/>
      <c r="JDV1" s="84"/>
      <c r="JDW1" s="84"/>
      <c r="JDX1" s="84"/>
      <c r="JDY1" s="84"/>
      <c r="JDZ1" s="84"/>
      <c r="JEA1" s="84"/>
      <c r="JEB1" s="84"/>
      <c r="JEC1" s="84"/>
      <c r="JED1" s="84"/>
      <c r="JEE1" s="84"/>
      <c r="JEF1" s="84"/>
      <c r="JEG1" s="84"/>
      <c r="JEH1" s="84"/>
      <c r="JEI1" s="84"/>
      <c r="JEJ1" s="84"/>
      <c r="JEK1" s="84"/>
      <c r="JEL1" s="84"/>
      <c r="JEM1" s="84"/>
      <c r="JEN1" s="84"/>
      <c r="JEO1" s="84"/>
      <c r="JEP1" s="84"/>
      <c r="JEQ1" s="84"/>
      <c r="JER1" s="84"/>
      <c r="JES1" s="84"/>
      <c r="JET1" s="84"/>
      <c r="JEU1" s="84"/>
      <c r="JEV1" s="84"/>
      <c r="JEW1" s="84"/>
      <c r="JEX1" s="84"/>
      <c r="JEY1" s="84"/>
      <c r="JEZ1" s="84"/>
      <c r="JFA1" s="84"/>
      <c r="JFB1" s="84"/>
      <c r="JFC1" s="84"/>
      <c r="JFD1" s="84"/>
      <c r="JFE1" s="84"/>
      <c r="JFF1" s="84"/>
      <c r="JFG1" s="84"/>
      <c r="JFH1" s="84"/>
      <c r="JFI1" s="84"/>
      <c r="JFJ1" s="84"/>
      <c r="JFK1" s="84"/>
      <c r="JFL1" s="84"/>
      <c r="JFM1" s="84"/>
      <c r="JFN1" s="84"/>
      <c r="JFO1" s="84"/>
      <c r="JFP1" s="84"/>
      <c r="JFQ1" s="84"/>
      <c r="JFR1" s="84"/>
      <c r="JFS1" s="84"/>
      <c r="JFT1" s="84"/>
      <c r="JFU1" s="84"/>
      <c r="JFV1" s="84"/>
      <c r="JFW1" s="84"/>
      <c r="JFX1" s="84"/>
      <c r="JFY1" s="84"/>
      <c r="JFZ1" s="84"/>
      <c r="JGA1" s="84"/>
      <c r="JGB1" s="84"/>
      <c r="JGC1" s="84"/>
      <c r="JGD1" s="84"/>
      <c r="JGE1" s="84"/>
      <c r="JGF1" s="84"/>
      <c r="JGG1" s="84"/>
      <c r="JGH1" s="84"/>
      <c r="JGI1" s="84"/>
      <c r="JGJ1" s="84"/>
      <c r="JGK1" s="84"/>
      <c r="JGL1" s="84"/>
      <c r="JGM1" s="84"/>
      <c r="JGN1" s="84"/>
      <c r="JGO1" s="84"/>
      <c r="JGP1" s="84"/>
      <c r="JGQ1" s="84"/>
      <c r="JGR1" s="84"/>
      <c r="JGS1" s="84"/>
      <c r="JGT1" s="84"/>
      <c r="JGU1" s="84"/>
      <c r="JGV1" s="84"/>
      <c r="JGW1" s="84"/>
      <c r="JGX1" s="84"/>
      <c r="JGY1" s="84"/>
      <c r="JGZ1" s="84"/>
      <c r="JHA1" s="84"/>
      <c r="JHB1" s="84"/>
      <c r="JHC1" s="84"/>
      <c r="JHD1" s="84"/>
      <c r="JHE1" s="84"/>
      <c r="JHF1" s="84"/>
      <c r="JHG1" s="84"/>
      <c r="JHH1" s="84"/>
      <c r="JHI1" s="84"/>
      <c r="JHJ1" s="84"/>
      <c r="JHK1" s="84"/>
      <c r="JHL1" s="84"/>
      <c r="JHM1" s="84"/>
      <c r="JHN1" s="84"/>
      <c r="JHO1" s="84"/>
      <c r="JHP1" s="84"/>
      <c r="JHQ1" s="84"/>
      <c r="JHR1" s="84"/>
      <c r="JHS1" s="84"/>
      <c r="JHT1" s="84"/>
      <c r="JHU1" s="84"/>
      <c r="JHV1" s="84"/>
      <c r="JHW1" s="84"/>
      <c r="JHX1" s="84"/>
      <c r="JHY1" s="84"/>
      <c r="JHZ1" s="84"/>
      <c r="JIA1" s="84"/>
      <c r="JIB1" s="84"/>
      <c r="JIC1" s="84"/>
      <c r="JID1" s="84"/>
      <c r="JIE1" s="84"/>
      <c r="JIF1" s="84"/>
      <c r="JIG1" s="84"/>
      <c r="JIH1" s="84"/>
      <c r="JII1" s="84"/>
      <c r="JIJ1" s="84"/>
      <c r="JIK1" s="84"/>
      <c r="JIL1" s="84"/>
      <c r="JIM1" s="84"/>
      <c r="JIN1" s="84"/>
      <c r="JIO1" s="84"/>
      <c r="JIP1" s="84"/>
      <c r="JIQ1" s="84"/>
      <c r="JIR1" s="84"/>
      <c r="JIS1" s="84"/>
      <c r="JIT1" s="84"/>
      <c r="JIU1" s="84"/>
      <c r="JIV1" s="84"/>
      <c r="JIW1" s="84"/>
      <c r="JIX1" s="84"/>
      <c r="JIY1" s="84"/>
      <c r="JIZ1" s="84"/>
      <c r="JJA1" s="84"/>
      <c r="JJB1" s="84"/>
      <c r="JJC1" s="84"/>
      <c r="JJD1" s="84"/>
      <c r="JJE1" s="84"/>
      <c r="JJF1" s="84"/>
      <c r="JJG1" s="84"/>
      <c r="JJH1" s="84"/>
      <c r="JJI1" s="84"/>
      <c r="JJJ1" s="84"/>
      <c r="JJK1" s="84"/>
      <c r="JJL1" s="84"/>
      <c r="JJM1" s="84"/>
      <c r="JJN1" s="84"/>
      <c r="JJO1" s="84"/>
      <c r="JJP1" s="84"/>
      <c r="JJQ1" s="84"/>
      <c r="JJR1" s="84"/>
      <c r="JJS1" s="84"/>
      <c r="JJT1" s="84"/>
      <c r="JJU1" s="84"/>
      <c r="JJV1" s="84"/>
      <c r="JJW1" s="84"/>
      <c r="JJX1" s="84"/>
      <c r="JJY1" s="84"/>
      <c r="JJZ1" s="84"/>
      <c r="JKA1" s="84"/>
      <c r="JKB1" s="84"/>
      <c r="JKC1" s="84"/>
      <c r="JKD1" s="84"/>
      <c r="JKE1" s="84"/>
      <c r="JKF1" s="84"/>
      <c r="JKG1" s="84"/>
      <c r="JKH1" s="84"/>
      <c r="JKI1" s="84"/>
      <c r="JKJ1" s="84"/>
      <c r="JKK1" s="84"/>
      <c r="JKL1" s="84"/>
      <c r="JKM1" s="84"/>
      <c r="JKN1" s="84"/>
      <c r="JKO1" s="84"/>
      <c r="JKP1" s="84"/>
      <c r="JKQ1" s="84"/>
      <c r="JKR1" s="84"/>
      <c r="JKS1" s="84"/>
      <c r="JKT1" s="84"/>
      <c r="JKU1" s="84"/>
      <c r="JKV1" s="84"/>
      <c r="JKW1" s="84"/>
      <c r="JKX1" s="84"/>
      <c r="JKY1" s="84"/>
      <c r="JKZ1" s="84"/>
      <c r="JLA1" s="84"/>
      <c r="JLB1" s="84"/>
      <c r="JLC1" s="84"/>
      <c r="JLD1" s="84"/>
      <c r="JLE1" s="84"/>
      <c r="JLF1" s="84"/>
      <c r="JLG1" s="84"/>
      <c r="JLH1" s="84"/>
      <c r="JLI1" s="84"/>
      <c r="JLJ1" s="84"/>
      <c r="JLK1" s="84"/>
      <c r="JLL1" s="84"/>
      <c r="JLM1" s="84"/>
      <c r="JLN1" s="84"/>
      <c r="JLO1" s="84"/>
      <c r="JLP1" s="84"/>
      <c r="JLQ1" s="84"/>
      <c r="JLR1" s="84"/>
      <c r="JLS1" s="84"/>
      <c r="JLT1" s="84"/>
      <c r="JLU1" s="84"/>
      <c r="JLV1" s="84"/>
      <c r="JLW1" s="84"/>
      <c r="JLX1" s="84"/>
      <c r="JLY1" s="84"/>
      <c r="JLZ1" s="84"/>
      <c r="JMA1" s="84"/>
      <c r="JMB1" s="84"/>
      <c r="JMC1" s="84"/>
      <c r="JMD1" s="84"/>
      <c r="JME1" s="84"/>
      <c r="JMF1" s="84"/>
      <c r="JMG1" s="84"/>
      <c r="JMH1" s="84"/>
      <c r="JMI1" s="84"/>
      <c r="JMJ1" s="84"/>
      <c r="JMK1" s="84"/>
      <c r="JML1" s="84"/>
      <c r="JMM1" s="84"/>
      <c r="JMN1" s="84"/>
      <c r="JMO1" s="84"/>
      <c r="JMP1" s="84"/>
      <c r="JMQ1" s="84"/>
      <c r="JMR1" s="84"/>
      <c r="JMS1" s="84"/>
      <c r="JMT1" s="84"/>
      <c r="JMU1" s="84"/>
      <c r="JMV1" s="84"/>
      <c r="JMW1" s="84"/>
      <c r="JMX1" s="84"/>
      <c r="JMY1" s="84"/>
      <c r="JMZ1" s="84"/>
      <c r="JNA1" s="84"/>
      <c r="JNB1" s="84"/>
      <c r="JNC1" s="84"/>
      <c r="JND1" s="84"/>
      <c r="JNE1" s="84"/>
      <c r="JNF1" s="84"/>
      <c r="JNG1" s="84"/>
      <c r="JNH1" s="84"/>
      <c r="JNI1" s="84"/>
      <c r="JNJ1" s="84"/>
      <c r="JNK1" s="84"/>
      <c r="JNL1" s="84"/>
      <c r="JNM1" s="84"/>
      <c r="JNN1" s="84"/>
      <c r="JNO1" s="84"/>
      <c r="JNP1" s="84"/>
      <c r="JNQ1" s="84"/>
      <c r="JNR1" s="84"/>
      <c r="JNS1" s="84"/>
      <c r="JNT1" s="84"/>
      <c r="JNU1" s="84"/>
      <c r="JNV1" s="84"/>
      <c r="JNW1" s="84"/>
      <c r="JNX1" s="84"/>
      <c r="JNY1" s="84"/>
      <c r="JNZ1" s="84"/>
      <c r="JOA1" s="84"/>
      <c r="JOB1" s="84"/>
      <c r="JOC1" s="84"/>
      <c r="JOD1" s="84"/>
      <c r="JOE1" s="84"/>
      <c r="JOF1" s="84"/>
      <c r="JOG1" s="84"/>
      <c r="JOH1" s="84"/>
      <c r="JOI1" s="84"/>
      <c r="JOJ1" s="84"/>
      <c r="JOK1" s="84"/>
      <c r="JOL1" s="84"/>
      <c r="JOM1" s="84"/>
      <c r="JON1" s="84"/>
      <c r="JOO1" s="84"/>
      <c r="JOP1" s="84"/>
      <c r="JOQ1" s="84"/>
      <c r="JOR1" s="84"/>
      <c r="JOS1" s="84"/>
      <c r="JOT1" s="84"/>
      <c r="JOU1" s="84"/>
      <c r="JOV1" s="84"/>
      <c r="JOW1" s="84"/>
      <c r="JOX1" s="84"/>
      <c r="JOY1" s="84"/>
      <c r="JOZ1" s="84"/>
      <c r="JPA1" s="84"/>
      <c r="JPB1" s="84"/>
      <c r="JPC1" s="84"/>
      <c r="JPD1" s="84"/>
      <c r="JPE1" s="84"/>
      <c r="JPF1" s="84"/>
      <c r="JPG1" s="84"/>
      <c r="JPH1" s="84"/>
      <c r="JPI1" s="84"/>
      <c r="JPJ1" s="84"/>
      <c r="JPK1" s="84"/>
      <c r="JPL1" s="84"/>
      <c r="JPM1" s="84"/>
      <c r="JPN1" s="84"/>
      <c r="JPO1" s="84"/>
      <c r="JPP1" s="84"/>
      <c r="JPQ1" s="84"/>
      <c r="JPR1" s="84"/>
      <c r="JPS1" s="84"/>
      <c r="JPT1" s="84"/>
      <c r="JPU1" s="84"/>
      <c r="JPV1" s="84"/>
      <c r="JPW1" s="84"/>
      <c r="JPX1" s="84"/>
      <c r="JPY1" s="84"/>
      <c r="JPZ1" s="84"/>
      <c r="JQA1" s="84"/>
      <c r="JQB1" s="84"/>
      <c r="JQC1" s="84"/>
      <c r="JQD1" s="84"/>
      <c r="JQE1" s="84"/>
      <c r="JQF1" s="84"/>
      <c r="JQG1" s="84"/>
      <c r="JQH1" s="84"/>
      <c r="JQI1" s="84"/>
      <c r="JQJ1" s="84"/>
      <c r="JQK1" s="84"/>
      <c r="JQL1" s="84"/>
      <c r="JQM1" s="84"/>
      <c r="JQN1" s="84"/>
      <c r="JQO1" s="84"/>
      <c r="JQP1" s="84"/>
      <c r="JQQ1" s="84"/>
      <c r="JQR1" s="84"/>
      <c r="JQS1" s="84"/>
      <c r="JQT1" s="84"/>
      <c r="JQU1" s="84"/>
      <c r="JQV1" s="84"/>
      <c r="JQW1" s="84"/>
      <c r="JQX1" s="84"/>
      <c r="JQY1" s="84"/>
      <c r="JQZ1" s="84"/>
      <c r="JRA1" s="84"/>
      <c r="JRB1" s="84"/>
      <c r="JRC1" s="84"/>
      <c r="JRD1" s="84"/>
      <c r="JRE1" s="84"/>
      <c r="JRF1" s="84"/>
      <c r="JRG1" s="84"/>
      <c r="JRH1" s="84"/>
      <c r="JRI1" s="84"/>
      <c r="JRJ1" s="84"/>
      <c r="JRK1" s="84"/>
      <c r="JRL1" s="84"/>
      <c r="JRM1" s="84"/>
      <c r="JRN1" s="84"/>
      <c r="JRO1" s="84"/>
      <c r="JRP1" s="84"/>
      <c r="JRQ1" s="84"/>
      <c r="JRR1" s="84"/>
      <c r="JRS1" s="84"/>
      <c r="JRT1" s="84"/>
      <c r="JRU1" s="84"/>
      <c r="JRV1" s="84"/>
      <c r="JRW1" s="84"/>
      <c r="JRX1" s="84"/>
      <c r="JRY1" s="84"/>
      <c r="JRZ1" s="84"/>
      <c r="JSA1" s="84"/>
      <c r="JSB1" s="84"/>
      <c r="JSC1" s="84"/>
      <c r="JSD1" s="84"/>
      <c r="JSE1" s="84"/>
      <c r="JSF1" s="84"/>
      <c r="JSG1" s="84"/>
      <c r="JSH1" s="84"/>
      <c r="JSI1" s="84"/>
      <c r="JSJ1" s="84"/>
      <c r="JSK1" s="84"/>
      <c r="JSL1" s="84"/>
      <c r="JSM1" s="84"/>
      <c r="JSN1" s="84"/>
      <c r="JSO1" s="84"/>
      <c r="JSP1" s="84"/>
      <c r="JSQ1" s="84"/>
      <c r="JSR1" s="84"/>
      <c r="JSS1" s="84"/>
      <c r="JST1" s="84"/>
      <c r="JSU1" s="84"/>
      <c r="JSV1" s="84"/>
      <c r="JSW1" s="84"/>
      <c r="JSX1" s="84"/>
      <c r="JSY1" s="84"/>
      <c r="JSZ1" s="84"/>
      <c r="JTA1" s="84"/>
      <c r="JTB1" s="84"/>
      <c r="JTC1" s="84"/>
      <c r="JTD1" s="84"/>
      <c r="JTE1" s="84"/>
      <c r="JTF1" s="84"/>
      <c r="JTG1" s="84"/>
      <c r="JTH1" s="84"/>
      <c r="JTI1" s="84"/>
      <c r="JTJ1" s="84"/>
      <c r="JTK1" s="84"/>
      <c r="JTL1" s="84"/>
      <c r="JTM1" s="84"/>
      <c r="JTN1" s="84"/>
      <c r="JTO1" s="84"/>
      <c r="JTP1" s="84"/>
      <c r="JTQ1" s="84"/>
      <c r="JTR1" s="84"/>
      <c r="JTS1" s="84"/>
      <c r="JTT1" s="84"/>
      <c r="JTU1" s="84"/>
      <c r="JTV1" s="84"/>
      <c r="JTW1" s="84"/>
      <c r="JTX1" s="84"/>
      <c r="JTY1" s="84"/>
      <c r="JTZ1" s="84"/>
      <c r="JUA1" s="84"/>
      <c r="JUB1" s="84"/>
      <c r="JUC1" s="84"/>
      <c r="JUD1" s="84"/>
      <c r="JUE1" s="84"/>
      <c r="JUF1" s="84"/>
      <c r="JUG1" s="84"/>
      <c r="JUH1" s="84"/>
      <c r="JUI1" s="84"/>
      <c r="JUJ1" s="84"/>
      <c r="JUK1" s="84"/>
      <c r="JUL1" s="84"/>
      <c r="JUM1" s="84"/>
      <c r="JUN1" s="84"/>
      <c r="JUO1" s="84"/>
      <c r="JUP1" s="84"/>
      <c r="JUQ1" s="84"/>
      <c r="JUR1" s="84"/>
      <c r="JUS1" s="84"/>
      <c r="JUT1" s="84"/>
      <c r="JUU1" s="84"/>
      <c r="JUV1" s="84"/>
      <c r="JUW1" s="84"/>
      <c r="JUX1" s="84"/>
      <c r="JUY1" s="84"/>
      <c r="JUZ1" s="84"/>
      <c r="JVA1" s="84"/>
      <c r="JVB1" s="84"/>
      <c r="JVC1" s="84"/>
      <c r="JVD1" s="84"/>
      <c r="JVE1" s="84"/>
      <c r="JVF1" s="84"/>
      <c r="JVG1" s="84"/>
      <c r="JVH1" s="84"/>
      <c r="JVI1" s="84"/>
      <c r="JVJ1" s="84"/>
      <c r="JVK1" s="84"/>
      <c r="JVL1" s="84"/>
      <c r="JVM1" s="84"/>
      <c r="JVN1" s="84"/>
      <c r="JVO1" s="84"/>
      <c r="JVP1" s="84"/>
      <c r="JVQ1" s="84"/>
      <c r="JVR1" s="84"/>
      <c r="JVS1" s="84"/>
      <c r="JVT1" s="84"/>
      <c r="JVU1" s="84"/>
      <c r="JVV1" s="84"/>
      <c r="JVW1" s="84"/>
      <c r="JVX1" s="84"/>
      <c r="JVY1" s="84"/>
      <c r="JVZ1" s="84"/>
      <c r="JWA1" s="84"/>
      <c r="JWB1" s="84"/>
      <c r="JWC1" s="84"/>
      <c r="JWD1" s="84"/>
      <c r="JWE1" s="84"/>
      <c r="JWF1" s="84"/>
      <c r="JWG1" s="84"/>
      <c r="JWH1" s="84"/>
      <c r="JWI1" s="84"/>
      <c r="JWJ1" s="84"/>
      <c r="JWK1" s="84"/>
      <c r="JWL1" s="84"/>
      <c r="JWM1" s="84"/>
      <c r="JWN1" s="84"/>
      <c r="JWO1" s="84"/>
      <c r="JWP1" s="84"/>
      <c r="JWQ1" s="84"/>
      <c r="JWR1" s="84"/>
      <c r="JWS1" s="84"/>
      <c r="JWT1" s="84"/>
      <c r="JWU1" s="84"/>
      <c r="JWV1" s="84"/>
      <c r="JWW1" s="84"/>
      <c r="JWX1" s="84"/>
      <c r="JWY1" s="84"/>
      <c r="JWZ1" s="84"/>
      <c r="JXA1" s="84"/>
      <c r="JXB1" s="84"/>
      <c r="JXC1" s="84"/>
      <c r="JXD1" s="84"/>
      <c r="JXE1" s="84"/>
      <c r="JXF1" s="84"/>
      <c r="JXG1" s="84"/>
      <c r="JXH1" s="84"/>
      <c r="JXI1" s="84"/>
      <c r="JXJ1" s="84"/>
      <c r="JXK1" s="84"/>
      <c r="JXL1" s="84"/>
      <c r="JXM1" s="84"/>
      <c r="JXN1" s="84"/>
      <c r="JXO1" s="84"/>
      <c r="JXP1" s="84"/>
      <c r="JXQ1" s="84"/>
      <c r="JXR1" s="84"/>
      <c r="JXS1" s="84"/>
      <c r="JXT1" s="84"/>
      <c r="JXU1" s="84"/>
      <c r="JXV1" s="84"/>
      <c r="JXW1" s="84"/>
      <c r="JXX1" s="84"/>
      <c r="JXY1" s="84"/>
      <c r="JXZ1" s="84"/>
      <c r="JYA1" s="84"/>
      <c r="JYB1" s="84"/>
      <c r="JYC1" s="84"/>
      <c r="JYD1" s="84"/>
      <c r="JYE1" s="84"/>
      <c r="JYF1" s="84"/>
      <c r="JYG1" s="84"/>
      <c r="JYH1" s="84"/>
      <c r="JYI1" s="84"/>
      <c r="JYJ1" s="84"/>
      <c r="JYK1" s="84"/>
      <c r="JYL1" s="84"/>
      <c r="JYM1" s="84"/>
      <c r="JYN1" s="84"/>
      <c r="JYO1" s="84"/>
      <c r="JYP1" s="84"/>
      <c r="JYQ1" s="84"/>
      <c r="JYR1" s="84"/>
      <c r="JYS1" s="84"/>
      <c r="JYT1" s="84"/>
      <c r="JYU1" s="84"/>
      <c r="JYV1" s="84"/>
      <c r="JYW1" s="84"/>
      <c r="JYX1" s="84"/>
      <c r="JYY1" s="84"/>
      <c r="JYZ1" s="84"/>
      <c r="JZA1" s="84"/>
      <c r="JZB1" s="84"/>
      <c r="JZC1" s="84"/>
      <c r="JZD1" s="84"/>
      <c r="JZE1" s="84"/>
      <c r="JZF1" s="84"/>
      <c r="JZG1" s="84"/>
      <c r="JZH1" s="84"/>
      <c r="JZI1" s="84"/>
      <c r="JZJ1" s="84"/>
      <c r="JZK1" s="84"/>
      <c r="JZL1" s="84"/>
      <c r="JZM1" s="84"/>
      <c r="JZN1" s="84"/>
      <c r="JZO1" s="84"/>
      <c r="JZP1" s="84"/>
      <c r="JZQ1" s="84"/>
      <c r="JZR1" s="84"/>
      <c r="JZS1" s="84"/>
      <c r="JZT1" s="84"/>
      <c r="JZU1" s="84"/>
      <c r="JZV1" s="84"/>
      <c r="JZW1" s="84"/>
      <c r="JZX1" s="84"/>
      <c r="JZY1" s="84"/>
      <c r="JZZ1" s="84"/>
      <c r="KAA1" s="84"/>
      <c r="KAB1" s="84"/>
      <c r="KAC1" s="84"/>
      <c r="KAD1" s="84"/>
      <c r="KAE1" s="84"/>
      <c r="KAF1" s="84"/>
      <c r="KAG1" s="84"/>
      <c r="KAH1" s="84"/>
      <c r="KAI1" s="84"/>
      <c r="KAJ1" s="84"/>
      <c r="KAK1" s="84"/>
      <c r="KAL1" s="84"/>
      <c r="KAM1" s="84"/>
      <c r="KAN1" s="84"/>
      <c r="KAO1" s="84"/>
      <c r="KAP1" s="84"/>
      <c r="KAQ1" s="84"/>
      <c r="KAR1" s="84"/>
      <c r="KAS1" s="84"/>
      <c r="KAT1" s="84"/>
      <c r="KAU1" s="84"/>
      <c r="KAV1" s="84"/>
      <c r="KAW1" s="84"/>
      <c r="KAX1" s="84"/>
      <c r="KAY1" s="84"/>
      <c r="KAZ1" s="84"/>
      <c r="KBA1" s="84"/>
      <c r="KBB1" s="84"/>
      <c r="KBC1" s="84"/>
      <c r="KBD1" s="84"/>
      <c r="KBE1" s="84"/>
      <c r="KBF1" s="84"/>
      <c r="KBG1" s="84"/>
      <c r="KBH1" s="84"/>
      <c r="KBI1" s="84"/>
      <c r="KBJ1" s="84"/>
      <c r="KBK1" s="84"/>
      <c r="KBL1" s="84"/>
      <c r="KBM1" s="84"/>
      <c r="KBN1" s="84"/>
      <c r="KBO1" s="84"/>
      <c r="KBP1" s="84"/>
      <c r="KBQ1" s="84"/>
      <c r="KBR1" s="84"/>
      <c r="KBS1" s="84"/>
      <c r="KBT1" s="84"/>
      <c r="KBU1" s="84"/>
      <c r="KBV1" s="84"/>
      <c r="KBW1" s="84"/>
      <c r="KBX1" s="84"/>
      <c r="KBY1" s="84"/>
      <c r="KBZ1" s="84"/>
      <c r="KCA1" s="84"/>
      <c r="KCB1" s="84"/>
      <c r="KCC1" s="84"/>
      <c r="KCD1" s="84"/>
      <c r="KCE1" s="84"/>
      <c r="KCF1" s="84"/>
      <c r="KCG1" s="84"/>
      <c r="KCH1" s="84"/>
      <c r="KCI1" s="84"/>
      <c r="KCJ1" s="84"/>
      <c r="KCK1" s="84"/>
      <c r="KCL1" s="84"/>
      <c r="KCM1" s="84"/>
      <c r="KCN1" s="84"/>
      <c r="KCO1" s="84"/>
      <c r="KCP1" s="84"/>
      <c r="KCQ1" s="84"/>
      <c r="KCR1" s="84"/>
      <c r="KCS1" s="84"/>
      <c r="KCT1" s="84"/>
      <c r="KCU1" s="84"/>
      <c r="KCV1" s="84"/>
      <c r="KCW1" s="84"/>
      <c r="KCX1" s="84"/>
      <c r="KCY1" s="84"/>
      <c r="KCZ1" s="84"/>
      <c r="KDA1" s="84"/>
      <c r="KDB1" s="84"/>
      <c r="KDC1" s="84"/>
      <c r="KDD1" s="84"/>
      <c r="KDE1" s="84"/>
      <c r="KDF1" s="84"/>
      <c r="KDG1" s="84"/>
      <c r="KDH1" s="84"/>
      <c r="KDI1" s="84"/>
      <c r="KDJ1" s="84"/>
      <c r="KDK1" s="84"/>
      <c r="KDL1" s="84"/>
      <c r="KDM1" s="84"/>
      <c r="KDN1" s="84"/>
      <c r="KDO1" s="84"/>
      <c r="KDP1" s="84"/>
      <c r="KDQ1" s="84"/>
      <c r="KDR1" s="84"/>
      <c r="KDS1" s="84"/>
      <c r="KDT1" s="84"/>
      <c r="KDU1" s="84"/>
      <c r="KDV1" s="84"/>
      <c r="KDW1" s="84"/>
      <c r="KDX1" s="84"/>
      <c r="KDY1" s="84"/>
      <c r="KDZ1" s="84"/>
      <c r="KEA1" s="84"/>
      <c r="KEB1" s="84"/>
      <c r="KEC1" s="84"/>
      <c r="KED1" s="84"/>
      <c r="KEE1" s="84"/>
      <c r="KEF1" s="84"/>
      <c r="KEG1" s="84"/>
      <c r="KEH1" s="84"/>
      <c r="KEI1" s="84"/>
      <c r="KEJ1" s="84"/>
      <c r="KEK1" s="84"/>
      <c r="KEL1" s="84"/>
      <c r="KEM1" s="84"/>
      <c r="KEN1" s="84"/>
      <c r="KEO1" s="84"/>
      <c r="KEP1" s="84"/>
      <c r="KEQ1" s="84"/>
      <c r="KER1" s="84"/>
      <c r="KES1" s="84"/>
      <c r="KET1" s="84"/>
      <c r="KEU1" s="84"/>
      <c r="KEV1" s="84"/>
      <c r="KEW1" s="84"/>
      <c r="KEX1" s="84"/>
      <c r="KEY1" s="84"/>
      <c r="KEZ1" s="84"/>
      <c r="KFA1" s="84"/>
      <c r="KFB1" s="84"/>
      <c r="KFC1" s="84"/>
      <c r="KFD1" s="84"/>
      <c r="KFE1" s="84"/>
      <c r="KFF1" s="84"/>
      <c r="KFG1" s="84"/>
      <c r="KFH1" s="84"/>
      <c r="KFI1" s="84"/>
      <c r="KFJ1" s="84"/>
      <c r="KFK1" s="84"/>
      <c r="KFL1" s="84"/>
      <c r="KFM1" s="84"/>
      <c r="KFN1" s="84"/>
      <c r="KFO1" s="84"/>
      <c r="KFP1" s="84"/>
      <c r="KFQ1" s="84"/>
      <c r="KFR1" s="84"/>
      <c r="KFS1" s="84"/>
      <c r="KFT1" s="84"/>
      <c r="KFU1" s="84"/>
      <c r="KFV1" s="84"/>
      <c r="KFW1" s="84"/>
      <c r="KFX1" s="84"/>
      <c r="KFY1" s="84"/>
      <c r="KFZ1" s="84"/>
      <c r="KGA1" s="84"/>
      <c r="KGB1" s="84"/>
      <c r="KGC1" s="84"/>
      <c r="KGD1" s="84"/>
      <c r="KGE1" s="84"/>
      <c r="KGF1" s="84"/>
      <c r="KGG1" s="84"/>
      <c r="KGH1" s="84"/>
      <c r="KGI1" s="84"/>
      <c r="KGJ1" s="84"/>
      <c r="KGK1" s="84"/>
      <c r="KGL1" s="84"/>
      <c r="KGM1" s="84"/>
      <c r="KGN1" s="84"/>
      <c r="KGO1" s="84"/>
      <c r="KGP1" s="84"/>
      <c r="KGQ1" s="84"/>
      <c r="KGR1" s="84"/>
      <c r="KGS1" s="84"/>
      <c r="KGT1" s="84"/>
      <c r="KGU1" s="84"/>
      <c r="KGV1" s="84"/>
      <c r="KGW1" s="84"/>
      <c r="KGX1" s="84"/>
      <c r="KGY1" s="84"/>
      <c r="KGZ1" s="84"/>
      <c r="KHA1" s="84"/>
      <c r="KHB1" s="84"/>
      <c r="KHC1" s="84"/>
      <c r="KHD1" s="84"/>
      <c r="KHE1" s="84"/>
      <c r="KHF1" s="84"/>
      <c r="KHG1" s="84"/>
      <c r="KHH1" s="84"/>
      <c r="KHI1" s="84"/>
      <c r="KHJ1" s="84"/>
      <c r="KHK1" s="84"/>
      <c r="KHL1" s="84"/>
      <c r="KHM1" s="84"/>
      <c r="KHN1" s="84"/>
      <c r="KHO1" s="84"/>
      <c r="KHP1" s="84"/>
      <c r="KHQ1" s="84"/>
      <c r="KHR1" s="84"/>
      <c r="KHS1" s="84"/>
      <c r="KHT1" s="84"/>
      <c r="KHU1" s="84"/>
      <c r="KHV1" s="84"/>
      <c r="KHW1" s="84"/>
      <c r="KHX1" s="84"/>
      <c r="KHY1" s="84"/>
      <c r="KHZ1" s="84"/>
      <c r="KIA1" s="84"/>
      <c r="KIB1" s="84"/>
      <c r="KIC1" s="84"/>
      <c r="KID1" s="84"/>
      <c r="KIE1" s="84"/>
      <c r="KIF1" s="84"/>
      <c r="KIG1" s="84"/>
      <c r="KIH1" s="84"/>
      <c r="KII1" s="84"/>
      <c r="KIJ1" s="84"/>
      <c r="KIK1" s="84"/>
      <c r="KIL1" s="84"/>
      <c r="KIM1" s="84"/>
      <c r="KIN1" s="84"/>
      <c r="KIO1" s="84"/>
      <c r="KIP1" s="84"/>
      <c r="KIQ1" s="84"/>
      <c r="KIR1" s="84"/>
      <c r="KIS1" s="84"/>
      <c r="KIT1" s="84"/>
      <c r="KIU1" s="84"/>
      <c r="KIV1" s="84"/>
      <c r="KIW1" s="84"/>
      <c r="KIX1" s="84"/>
      <c r="KIY1" s="84"/>
      <c r="KIZ1" s="84"/>
      <c r="KJA1" s="84"/>
      <c r="KJB1" s="84"/>
      <c r="KJC1" s="84"/>
      <c r="KJD1" s="84"/>
      <c r="KJE1" s="84"/>
      <c r="KJF1" s="84"/>
      <c r="KJG1" s="84"/>
      <c r="KJH1" s="84"/>
      <c r="KJI1" s="84"/>
      <c r="KJJ1" s="84"/>
      <c r="KJK1" s="84"/>
      <c r="KJL1" s="84"/>
      <c r="KJM1" s="84"/>
      <c r="KJN1" s="84"/>
      <c r="KJO1" s="84"/>
      <c r="KJP1" s="84"/>
      <c r="KJQ1" s="84"/>
      <c r="KJR1" s="84"/>
      <c r="KJS1" s="84"/>
      <c r="KJT1" s="84"/>
      <c r="KJU1" s="84"/>
      <c r="KJV1" s="84"/>
      <c r="KJW1" s="84"/>
      <c r="KJX1" s="84"/>
      <c r="KJY1" s="84"/>
      <c r="KJZ1" s="84"/>
      <c r="KKA1" s="84"/>
      <c r="KKB1" s="84"/>
      <c r="KKC1" s="84"/>
      <c r="KKD1" s="84"/>
      <c r="KKE1" s="84"/>
      <c r="KKF1" s="84"/>
      <c r="KKG1" s="84"/>
      <c r="KKH1" s="84"/>
      <c r="KKI1" s="84"/>
      <c r="KKJ1" s="84"/>
      <c r="KKK1" s="84"/>
      <c r="KKL1" s="84"/>
      <c r="KKM1" s="84"/>
      <c r="KKN1" s="84"/>
      <c r="KKO1" s="84"/>
      <c r="KKP1" s="84"/>
      <c r="KKQ1" s="84"/>
      <c r="KKR1" s="84"/>
      <c r="KKS1" s="84"/>
      <c r="KKT1" s="84"/>
      <c r="KKU1" s="84"/>
      <c r="KKV1" s="84"/>
      <c r="KKW1" s="84"/>
      <c r="KKX1" s="84"/>
      <c r="KKY1" s="84"/>
      <c r="KKZ1" s="84"/>
      <c r="KLA1" s="84"/>
      <c r="KLB1" s="84"/>
      <c r="KLC1" s="84"/>
      <c r="KLD1" s="84"/>
      <c r="KLE1" s="84"/>
      <c r="KLF1" s="84"/>
      <c r="KLG1" s="84"/>
      <c r="KLH1" s="84"/>
      <c r="KLI1" s="84"/>
      <c r="KLJ1" s="84"/>
      <c r="KLK1" s="84"/>
      <c r="KLL1" s="84"/>
      <c r="KLM1" s="84"/>
      <c r="KLN1" s="84"/>
      <c r="KLO1" s="84"/>
      <c r="KLP1" s="84"/>
      <c r="KLQ1" s="84"/>
      <c r="KLR1" s="84"/>
      <c r="KLS1" s="84"/>
      <c r="KLT1" s="84"/>
      <c r="KLU1" s="84"/>
      <c r="KLV1" s="84"/>
      <c r="KLW1" s="84"/>
      <c r="KLX1" s="84"/>
      <c r="KLY1" s="84"/>
      <c r="KLZ1" s="84"/>
      <c r="KMA1" s="84"/>
      <c r="KMB1" s="84"/>
      <c r="KMC1" s="84"/>
      <c r="KMD1" s="84"/>
      <c r="KME1" s="84"/>
      <c r="KMF1" s="84"/>
      <c r="KMG1" s="84"/>
      <c r="KMH1" s="84"/>
      <c r="KMI1" s="84"/>
      <c r="KMJ1" s="84"/>
      <c r="KMK1" s="84"/>
      <c r="KML1" s="84"/>
      <c r="KMM1" s="84"/>
      <c r="KMN1" s="84"/>
      <c r="KMO1" s="84"/>
      <c r="KMP1" s="84"/>
      <c r="KMQ1" s="84"/>
      <c r="KMR1" s="84"/>
      <c r="KMS1" s="84"/>
      <c r="KMT1" s="84"/>
      <c r="KMU1" s="84"/>
      <c r="KMV1" s="84"/>
      <c r="KMW1" s="84"/>
      <c r="KMX1" s="84"/>
      <c r="KMY1" s="84"/>
      <c r="KMZ1" s="84"/>
      <c r="KNA1" s="84"/>
      <c r="KNB1" s="84"/>
      <c r="KNC1" s="84"/>
      <c r="KND1" s="84"/>
      <c r="KNE1" s="84"/>
      <c r="KNF1" s="84"/>
      <c r="KNG1" s="84"/>
      <c r="KNH1" s="84"/>
      <c r="KNI1" s="84"/>
      <c r="KNJ1" s="84"/>
      <c r="KNK1" s="84"/>
      <c r="KNL1" s="84"/>
      <c r="KNM1" s="84"/>
      <c r="KNN1" s="84"/>
      <c r="KNO1" s="84"/>
      <c r="KNP1" s="84"/>
      <c r="KNQ1" s="84"/>
      <c r="KNR1" s="84"/>
      <c r="KNS1" s="84"/>
      <c r="KNT1" s="84"/>
      <c r="KNU1" s="84"/>
      <c r="KNV1" s="84"/>
      <c r="KNW1" s="84"/>
      <c r="KNX1" s="84"/>
      <c r="KNY1" s="84"/>
      <c r="KNZ1" s="84"/>
      <c r="KOA1" s="84"/>
      <c r="KOB1" s="84"/>
      <c r="KOC1" s="84"/>
      <c r="KOD1" s="84"/>
      <c r="KOE1" s="84"/>
      <c r="KOF1" s="84"/>
      <c r="KOG1" s="84"/>
      <c r="KOH1" s="84"/>
      <c r="KOI1" s="84"/>
      <c r="KOJ1" s="84"/>
      <c r="KOK1" s="84"/>
      <c r="KOL1" s="84"/>
      <c r="KOM1" s="84"/>
      <c r="KON1" s="84"/>
      <c r="KOO1" s="84"/>
      <c r="KOP1" s="84"/>
      <c r="KOQ1" s="84"/>
      <c r="KOR1" s="84"/>
      <c r="KOS1" s="84"/>
      <c r="KOT1" s="84"/>
      <c r="KOU1" s="84"/>
      <c r="KOV1" s="84"/>
      <c r="KOW1" s="84"/>
      <c r="KOX1" s="84"/>
      <c r="KOY1" s="84"/>
      <c r="KOZ1" s="84"/>
      <c r="KPA1" s="84"/>
      <c r="KPB1" s="84"/>
      <c r="KPC1" s="84"/>
      <c r="KPD1" s="84"/>
      <c r="KPE1" s="84"/>
      <c r="KPF1" s="84"/>
      <c r="KPG1" s="84"/>
      <c r="KPH1" s="84"/>
      <c r="KPI1" s="84"/>
      <c r="KPJ1" s="84"/>
      <c r="KPK1" s="84"/>
      <c r="KPL1" s="84"/>
      <c r="KPM1" s="84"/>
      <c r="KPN1" s="84"/>
      <c r="KPO1" s="84"/>
      <c r="KPP1" s="84"/>
      <c r="KPQ1" s="84"/>
      <c r="KPR1" s="84"/>
      <c r="KPS1" s="84"/>
      <c r="KPT1" s="84"/>
      <c r="KPU1" s="84"/>
      <c r="KPV1" s="84"/>
      <c r="KPW1" s="84"/>
      <c r="KPX1" s="84"/>
      <c r="KPY1" s="84"/>
      <c r="KPZ1" s="84"/>
      <c r="KQA1" s="84"/>
      <c r="KQB1" s="84"/>
      <c r="KQC1" s="84"/>
      <c r="KQD1" s="84"/>
      <c r="KQE1" s="84"/>
      <c r="KQF1" s="84"/>
      <c r="KQG1" s="84"/>
      <c r="KQH1" s="84"/>
      <c r="KQI1" s="84"/>
      <c r="KQJ1" s="84"/>
      <c r="KQK1" s="84"/>
      <c r="KQL1" s="84"/>
      <c r="KQM1" s="84"/>
      <c r="KQN1" s="84"/>
      <c r="KQO1" s="84"/>
      <c r="KQP1" s="84"/>
      <c r="KQQ1" s="84"/>
      <c r="KQR1" s="84"/>
      <c r="KQS1" s="84"/>
      <c r="KQT1" s="84"/>
      <c r="KQU1" s="84"/>
      <c r="KQV1" s="84"/>
      <c r="KQW1" s="84"/>
      <c r="KQX1" s="84"/>
      <c r="KQY1" s="84"/>
      <c r="KQZ1" s="84"/>
      <c r="KRA1" s="84"/>
      <c r="KRB1" s="84"/>
      <c r="KRC1" s="84"/>
      <c r="KRD1" s="84"/>
      <c r="KRE1" s="84"/>
      <c r="KRF1" s="84"/>
      <c r="KRG1" s="84"/>
      <c r="KRH1" s="84"/>
      <c r="KRI1" s="84"/>
      <c r="KRJ1" s="84"/>
      <c r="KRK1" s="84"/>
      <c r="KRL1" s="84"/>
      <c r="KRM1" s="84"/>
      <c r="KRN1" s="84"/>
      <c r="KRO1" s="84"/>
      <c r="KRP1" s="84"/>
      <c r="KRQ1" s="84"/>
      <c r="KRR1" s="84"/>
      <c r="KRS1" s="84"/>
      <c r="KRT1" s="84"/>
      <c r="KRU1" s="84"/>
      <c r="KRV1" s="84"/>
      <c r="KRW1" s="84"/>
      <c r="KRX1" s="84"/>
      <c r="KRY1" s="84"/>
      <c r="KRZ1" s="84"/>
      <c r="KSA1" s="84"/>
      <c r="KSB1" s="84"/>
      <c r="KSC1" s="84"/>
      <c r="KSD1" s="84"/>
      <c r="KSE1" s="84"/>
      <c r="KSF1" s="84"/>
      <c r="KSG1" s="84"/>
      <c r="KSH1" s="84"/>
      <c r="KSI1" s="84"/>
      <c r="KSJ1" s="84"/>
      <c r="KSK1" s="84"/>
      <c r="KSL1" s="84"/>
      <c r="KSM1" s="84"/>
      <c r="KSN1" s="84"/>
      <c r="KSO1" s="84"/>
      <c r="KSP1" s="84"/>
      <c r="KSQ1" s="84"/>
      <c r="KSR1" s="84"/>
      <c r="KSS1" s="84"/>
      <c r="KST1" s="84"/>
      <c r="KSU1" s="84"/>
      <c r="KSV1" s="84"/>
      <c r="KSW1" s="84"/>
      <c r="KSX1" s="84"/>
      <c r="KSY1" s="84"/>
      <c r="KSZ1" s="84"/>
      <c r="KTA1" s="84"/>
      <c r="KTB1" s="84"/>
      <c r="KTC1" s="84"/>
      <c r="KTD1" s="84"/>
      <c r="KTE1" s="84"/>
      <c r="KTF1" s="84"/>
      <c r="KTG1" s="84"/>
      <c r="KTH1" s="84"/>
      <c r="KTI1" s="84"/>
      <c r="KTJ1" s="84"/>
      <c r="KTK1" s="84"/>
      <c r="KTL1" s="84"/>
      <c r="KTM1" s="84"/>
      <c r="KTN1" s="84"/>
      <c r="KTO1" s="84"/>
      <c r="KTP1" s="84"/>
      <c r="KTQ1" s="84"/>
      <c r="KTR1" s="84"/>
      <c r="KTS1" s="84"/>
      <c r="KTT1" s="84"/>
      <c r="KTU1" s="84"/>
      <c r="KTV1" s="84"/>
      <c r="KTW1" s="84"/>
      <c r="KTX1" s="84"/>
      <c r="KTY1" s="84"/>
      <c r="KTZ1" s="84"/>
      <c r="KUA1" s="84"/>
      <c r="KUB1" s="84"/>
      <c r="KUC1" s="84"/>
      <c r="KUD1" s="84"/>
      <c r="KUE1" s="84"/>
      <c r="KUF1" s="84"/>
      <c r="KUG1" s="84"/>
      <c r="KUH1" s="84"/>
      <c r="KUI1" s="84"/>
      <c r="KUJ1" s="84"/>
      <c r="KUK1" s="84"/>
      <c r="KUL1" s="84"/>
      <c r="KUM1" s="84"/>
      <c r="KUN1" s="84"/>
      <c r="KUO1" s="84"/>
      <c r="KUP1" s="84"/>
      <c r="KUQ1" s="84"/>
      <c r="KUR1" s="84"/>
      <c r="KUS1" s="84"/>
      <c r="KUT1" s="84"/>
      <c r="KUU1" s="84"/>
      <c r="KUV1" s="84"/>
      <c r="KUW1" s="84"/>
      <c r="KUX1" s="84"/>
      <c r="KUY1" s="84"/>
      <c r="KUZ1" s="84"/>
      <c r="KVA1" s="84"/>
      <c r="KVB1" s="84"/>
      <c r="KVC1" s="84"/>
      <c r="KVD1" s="84"/>
      <c r="KVE1" s="84"/>
      <c r="KVF1" s="84"/>
      <c r="KVG1" s="84"/>
      <c r="KVH1" s="84"/>
      <c r="KVI1" s="84"/>
      <c r="KVJ1" s="84"/>
      <c r="KVK1" s="84"/>
      <c r="KVL1" s="84"/>
      <c r="KVM1" s="84"/>
      <c r="KVN1" s="84"/>
      <c r="KVO1" s="84"/>
      <c r="KVP1" s="84"/>
      <c r="KVQ1" s="84"/>
      <c r="KVR1" s="84"/>
      <c r="KVS1" s="84"/>
      <c r="KVT1" s="84"/>
      <c r="KVU1" s="84"/>
      <c r="KVV1" s="84"/>
      <c r="KVW1" s="84"/>
      <c r="KVX1" s="84"/>
      <c r="KVY1" s="84"/>
      <c r="KVZ1" s="84"/>
      <c r="KWA1" s="84"/>
      <c r="KWB1" s="84"/>
      <c r="KWC1" s="84"/>
      <c r="KWD1" s="84"/>
      <c r="KWE1" s="84"/>
      <c r="KWF1" s="84"/>
      <c r="KWG1" s="84"/>
      <c r="KWH1" s="84"/>
      <c r="KWI1" s="84"/>
      <c r="KWJ1" s="84"/>
      <c r="KWK1" s="84"/>
      <c r="KWL1" s="84"/>
      <c r="KWM1" s="84"/>
      <c r="KWN1" s="84"/>
      <c r="KWO1" s="84"/>
      <c r="KWP1" s="84"/>
      <c r="KWQ1" s="84"/>
      <c r="KWR1" s="84"/>
      <c r="KWS1" s="84"/>
      <c r="KWT1" s="84"/>
      <c r="KWU1" s="84"/>
      <c r="KWV1" s="84"/>
      <c r="KWW1" s="84"/>
      <c r="KWX1" s="84"/>
      <c r="KWY1" s="84"/>
      <c r="KWZ1" s="84"/>
      <c r="KXA1" s="84"/>
      <c r="KXB1" s="84"/>
      <c r="KXC1" s="84"/>
      <c r="KXD1" s="84"/>
      <c r="KXE1" s="84"/>
      <c r="KXF1" s="84"/>
      <c r="KXG1" s="84"/>
      <c r="KXH1" s="84"/>
      <c r="KXI1" s="84"/>
      <c r="KXJ1" s="84"/>
      <c r="KXK1" s="84"/>
      <c r="KXL1" s="84"/>
      <c r="KXM1" s="84"/>
      <c r="KXN1" s="84"/>
      <c r="KXO1" s="84"/>
      <c r="KXP1" s="84"/>
      <c r="KXQ1" s="84"/>
      <c r="KXR1" s="84"/>
      <c r="KXS1" s="84"/>
      <c r="KXT1" s="84"/>
      <c r="KXU1" s="84"/>
      <c r="KXV1" s="84"/>
      <c r="KXW1" s="84"/>
      <c r="KXX1" s="84"/>
      <c r="KXY1" s="84"/>
      <c r="KXZ1" s="84"/>
      <c r="KYA1" s="84"/>
      <c r="KYB1" s="84"/>
      <c r="KYC1" s="84"/>
      <c r="KYD1" s="84"/>
      <c r="KYE1" s="84"/>
      <c r="KYF1" s="84"/>
      <c r="KYG1" s="84"/>
      <c r="KYH1" s="84"/>
      <c r="KYI1" s="84"/>
      <c r="KYJ1" s="84"/>
      <c r="KYK1" s="84"/>
      <c r="KYL1" s="84"/>
      <c r="KYM1" s="84"/>
      <c r="KYN1" s="84"/>
      <c r="KYO1" s="84"/>
      <c r="KYP1" s="84"/>
      <c r="KYQ1" s="84"/>
      <c r="KYR1" s="84"/>
      <c r="KYS1" s="84"/>
      <c r="KYT1" s="84"/>
      <c r="KYU1" s="84"/>
      <c r="KYV1" s="84"/>
      <c r="KYW1" s="84"/>
      <c r="KYX1" s="84"/>
      <c r="KYY1" s="84"/>
      <c r="KYZ1" s="84"/>
      <c r="KZA1" s="84"/>
      <c r="KZB1" s="84"/>
      <c r="KZC1" s="84"/>
      <c r="KZD1" s="84"/>
      <c r="KZE1" s="84"/>
      <c r="KZF1" s="84"/>
      <c r="KZG1" s="84"/>
      <c r="KZH1" s="84"/>
      <c r="KZI1" s="84"/>
      <c r="KZJ1" s="84"/>
      <c r="KZK1" s="84"/>
      <c r="KZL1" s="84"/>
      <c r="KZM1" s="84"/>
      <c r="KZN1" s="84"/>
      <c r="KZO1" s="84"/>
      <c r="KZP1" s="84"/>
      <c r="KZQ1" s="84"/>
      <c r="KZR1" s="84"/>
      <c r="KZS1" s="84"/>
      <c r="KZT1" s="84"/>
      <c r="KZU1" s="84"/>
      <c r="KZV1" s="84"/>
      <c r="KZW1" s="84"/>
      <c r="KZX1" s="84"/>
      <c r="KZY1" s="84"/>
      <c r="KZZ1" s="84"/>
      <c r="LAA1" s="84"/>
      <c r="LAB1" s="84"/>
      <c r="LAC1" s="84"/>
      <c r="LAD1" s="84"/>
      <c r="LAE1" s="84"/>
      <c r="LAF1" s="84"/>
      <c r="LAG1" s="84"/>
      <c r="LAH1" s="84"/>
      <c r="LAI1" s="84"/>
      <c r="LAJ1" s="84"/>
      <c r="LAK1" s="84"/>
      <c r="LAL1" s="84"/>
      <c r="LAM1" s="84"/>
      <c r="LAN1" s="84"/>
      <c r="LAO1" s="84"/>
      <c r="LAP1" s="84"/>
      <c r="LAQ1" s="84"/>
      <c r="LAR1" s="84"/>
      <c r="LAS1" s="84"/>
      <c r="LAT1" s="84"/>
      <c r="LAU1" s="84"/>
      <c r="LAV1" s="84"/>
      <c r="LAW1" s="84"/>
      <c r="LAX1" s="84"/>
      <c r="LAY1" s="84"/>
      <c r="LAZ1" s="84"/>
      <c r="LBA1" s="84"/>
      <c r="LBB1" s="84"/>
      <c r="LBC1" s="84"/>
      <c r="LBD1" s="84"/>
      <c r="LBE1" s="84"/>
      <c r="LBF1" s="84"/>
      <c r="LBG1" s="84"/>
      <c r="LBH1" s="84"/>
      <c r="LBI1" s="84"/>
      <c r="LBJ1" s="84"/>
      <c r="LBK1" s="84"/>
      <c r="LBL1" s="84"/>
      <c r="LBM1" s="84"/>
      <c r="LBN1" s="84"/>
      <c r="LBO1" s="84"/>
      <c r="LBP1" s="84"/>
      <c r="LBQ1" s="84"/>
      <c r="LBR1" s="84"/>
      <c r="LBS1" s="84"/>
      <c r="LBT1" s="84"/>
      <c r="LBU1" s="84"/>
      <c r="LBV1" s="84"/>
      <c r="LBW1" s="84"/>
      <c r="LBX1" s="84"/>
      <c r="LBY1" s="84"/>
      <c r="LBZ1" s="84"/>
      <c r="LCA1" s="84"/>
      <c r="LCB1" s="84"/>
      <c r="LCC1" s="84"/>
      <c r="LCD1" s="84"/>
      <c r="LCE1" s="84"/>
      <c r="LCF1" s="84"/>
      <c r="LCG1" s="84"/>
      <c r="LCH1" s="84"/>
      <c r="LCI1" s="84"/>
      <c r="LCJ1" s="84"/>
      <c r="LCK1" s="84"/>
      <c r="LCL1" s="84"/>
      <c r="LCM1" s="84"/>
      <c r="LCN1" s="84"/>
      <c r="LCO1" s="84"/>
      <c r="LCP1" s="84"/>
      <c r="LCQ1" s="84"/>
      <c r="LCR1" s="84"/>
      <c r="LCS1" s="84"/>
      <c r="LCT1" s="84"/>
      <c r="LCU1" s="84"/>
      <c r="LCV1" s="84"/>
      <c r="LCW1" s="84"/>
      <c r="LCX1" s="84"/>
      <c r="LCY1" s="84"/>
      <c r="LCZ1" s="84"/>
      <c r="LDA1" s="84"/>
      <c r="LDB1" s="84"/>
      <c r="LDC1" s="84"/>
      <c r="LDD1" s="84"/>
      <c r="LDE1" s="84"/>
      <c r="LDF1" s="84"/>
      <c r="LDG1" s="84"/>
      <c r="LDH1" s="84"/>
      <c r="LDI1" s="84"/>
      <c r="LDJ1" s="84"/>
      <c r="LDK1" s="84"/>
      <c r="LDL1" s="84"/>
      <c r="LDM1" s="84"/>
      <c r="LDN1" s="84"/>
      <c r="LDO1" s="84"/>
      <c r="LDP1" s="84"/>
      <c r="LDQ1" s="84"/>
      <c r="LDR1" s="84"/>
      <c r="LDS1" s="84"/>
      <c r="LDT1" s="84"/>
      <c r="LDU1" s="84"/>
      <c r="LDV1" s="84"/>
      <c r="LDW1" s="84"/>
      <c r="LDX1" s="84"/>
      <c r="LDY1" s="84"/>
      <c r="LDZ1" s="84"/>
      <c r="LEA1" s="84"/>
      <c r="LEB1" s="84"/>
      <c r="LEC1" s="84"/>
      <c r="LED1" s="84"/>
      <c r="LEE1" s="84"/>
      <c r="LEF1" s="84"/>
      <c r="LEG1" s="84"/>
      <c r="LEH1" s="84"/>
      <c r="LEI1" s="84"/>
      <c r="LEJ1" s="84"/>
      <c r="LEK1" s="84"/>
      <c r="LEL1" s="84"/>
      <c r="LEM1" s="84"/>
      <c r="LEN1" s="84"/>
      <c r="LEO1" s="84"/>
      <c r="LEP1" s="84"/>
      <c r="LEQ1" s="84"/>
      <c r="LER1" s="84"/>
      <c r="LES1" s="84"/>
      <c r="LET1" s="84"/>
      <c r="LEU1" s="84"/>
      <c r="LEV1" s="84"/>
      <c r="LEW1" s="84"/>
      <c r="LEX1" s="84"/>
      <c r="LEY1" s="84"/>
      <c r="LEZ1" s="84"/>
      <c r="LFA1" s="84"/>
      <c r="LFB1" s="84"/>
      <c r="LFC1" s="84"/>
      <c r="LFD1" s="84"/>
      <c r="LFE1" s="84"/>
      <c r="LFF1" s="84"/>
      <c r="LFG1" s="84"/>
      <c r="LFH1" s="84"/>
      <c r="LFI1" s="84"/>
      <c r="LFJ1" s="84"/>
      <c r="LFK1" s="84"/>
      <c r="LFL1" s="84"/>
      <c r="LFM1" s="84"/>
      <c r="LFN1" s="84"/>
      <c r="LFO1" s="84"/>
      <c r="LFP1" s="84"/>
      <c r="LFQ1" s="84"/>
      <c r="LFR1" s="84"/>
      <c r="LFS1" s="84"/>
      <c r="LFT1" s="84"/>
      <c r="LFU1" s="84"/>
      <c r="LFV1" s="84"/>
      <c r="LFW1" s="84"/>
      <c r="LFX1" s="84"/>
      <c r="LFY1" s="84"/>
      <c r="LFZ1" s="84"/>
      <c r="LGA1" s="84"/>
      <c r="LGB1" s="84"/>
      <c r="LGC1" s="84"/>
      <c r="LGD1" s="84"/>
      <c r="LGE1" s="84"/>
      <c r="LGF1" s="84"/>
      <c r="LGG1" s="84"/>
      <c r="LGH1" s="84"/>
      <c r="LGI1" s="84"/>
      <c r="LGJ1" s="84"/>
      <c r="LGK1" s="84"/>
      <c r="LGL1" s="84"/>
      <c r="LGM1" s="84"/>
      <c r="LGN1" s="84"/>
      <c r="LGO1" s="84"/>
      <c r="LGP1" s="84"/>
      <c r="LGQ1" s="84"/>
      <c r="LGR1" s="84"/>
      <c r="LGS1" s="84"/>
      <c r="LGT1" s="84"/>
      <c r="LGU1" s="84"/>
      <c r="LGV1" s="84"/>
      <c r="LGW1" s="84"/>
      <c r="LGX1" s="84"/>
      <c r="LGY1" s="84"/>
      <c r="LGZ1" s="84"/>
      <c r="LHA1" s="84"/>
      <c r="LHB1" s="84"/>
      <c r="LHC1" s="84"/>
      <c r="LHD1" s="84"/>
      <c r="LHE1" s="84"/>
      <c r="LHF1" s="84"/>
      <c r="LHG1" s="84"/>
      <c r="LHH1" s="84"/>
      <c r="LHI1" s="84"/>
      <c r="LHJ1" s="84"/>
      <c r="LHK1" s="84"/>
      <c r="LHL1" s="84"/>
      <c r="LHM1" s="84"/>
      <c r="LHN1" s="84"/>
      <c r="LHO1" s="84"/>
      <c r="LHP1" s="84"/>
      <c r="LHQ1" s="84"/>
      <c r="LHR1" s="84"/>
      <c r="LHS1" s="84"/>
      <c r="LHT1" s="84"/>
      <c r="LHU1" s="84"/>
      <c r="LHV1" s="84"/>
      <c r="LHW1" s="84"/>
      <c r="LHX1" s="84"/>
      <c r="LHY1" s="84"/>
      <c r="LHZ1" s="84"/>
      <c r="LIA1" s="84"/>
      <c r="LIB1" s="84"/>
      <c r="LIC1" s="84"/>
      <c r="LID1" s="84"/>
      <c r="LIE1" s="84"/>
      <c r="LIF1" s="84"/>
      <c r="LIG1" s="84"/>
      <c r="LIH1" s="84"/>
      <c r="LII1" s="84"/>
      <c r="LIJ1" s="84"/>
      <c r="LIK1" s="84"/>
      <c r="LIL1" s="84"/>
      <c r="LIM1" s="84"/>
      <c r="LIN1" s="84"/>
      <c r="LIO1" s="84"/>
      <c r="LIP1" s="84"/>
      <c r="LIQ1" s="84"/>
      <c r="LIR1" s="84"/>
      <c r="LIS1" s="84"/>
      <c r="LIT1" s="84"/>
      <c r="LIU1" s="84"/>
      <c r="LIV1" s="84"/>
      <c r="LIW1" s="84"/>
      <c r="LIX1" s="84"/>
      <c r="LIY1" s="84"/>
      <c r="LIZ1" s="84"/>
      <c r="LJA1" s="84"/>
      <c r="LJB1" s="84"/>
      <c r="LJC1" s="84"/>
      <c r="LJD1" s="84"/>
      <c r="LJE1" s="84"/>
      <c r="LJF1" s="84"/>
      <c r="LJG1" s="84"/>
      <c r="LJH1" s="84"/>
      <c r="LJI1" s="84"/>
      <c r="LJJ1" s="84"/>
      <c r="LJK1" s="84"/>
      <c r="LJL1" s="84"/>
      <c r="LJM1" s="84"/>
      <c r="LJN1" s="84"/>
      <c r="LJO1" s="84"/>
      <c r="LJP1" s="84"/>
      <c r="LJQ1" s="84"/>
      <c r="LJR1" s="84"/>
      <c r="LJS1" s="84"/>
      <c r="LJT1" s="84"/>
      <c r="LJU1" s="84"/>
      <c r="LJV1" s="84"/>
      <c r="LJW1" s="84"/>
      <c r="LJX1" s="84"/>
      <c r="LJY1" s="84"/>
      <c r="LJZ1" s="84"/>
      <c r="LKA1" s="84"/>
      <c r="LKB1" s="84"/>
      <c r="LKC1" s="84"/>
      <c r="LKD1" s="84"/>
      <c r="LKE1" s="84"/>
      <c r="LKF1" s="84"/>
      <c r="LKG1" s="84"/>
      <c r="LKH1" s="84"/>
      <c r="LKI1" s="84"/>
      <c r="LKJ1" s="84"/>
      <c r="LKK1" s="84"/>
      <c r="LKL1" s="84"/>
      <c r="LKM1" s="84"/>
      <c r="LKN1" s="84"/>
      <c r="LKO1" s="84"/>
      <c r="LKP1" s="84"/>
      <c r="LKQ1" s="84"/>
      <c r="LKR1" s="84"/>
      <c r="LKS1" s="84"/>
      <c r="LKT1" s="84"/>
      <c r="LKU1" s="84"/>
      <c r="LKV1" s="84"/>
      <c r="LKW1" s="84"/>
      <c r="LKX1" s="84"/>
      <c r="LKY1" s="84"/>
      <c r="LKZ1" s="84"/>
      <c r="LLA1" s="84"/>
      <c r="LLB1" s="84"/>
      <c r="LLC1" s="84"/>
      <c r="LLD1" s="84"/>
      <c r="LLE1" s="84"/>
      <c r="LLF1" s="84"/>
      <c r="LLG1" s="84"/>
      <c r="LLH1" s="84"/>
      <c r="LLI1" s="84"/>
      <c r="LLJ1" s="84"/>
      <c r="LLK1" s="84"/>
      <c r="LLL1" s="84"/>
      <c r="LLM1" s="84"/>
      <c r="LLN1" s="84"/>
      <c r="LLO1" s="84"/>
      <c r="LLP1" s="84"/>
      <c r="LLQ1" s="84"/>
      <c r="LLR1" s="84"/>
      <c r="LLS1" s="84"/>
      <c r="LLT1" s="84"/>
      <c r="LLU1" s="84"/>
      <c r="LLV1" s="84"/>
      <c r="LLW1" s="84"/>
      <c r="LLX1" s="84"/>
      <c r="LLY1" s="84"/>
      <c r="LLZ1" s="84"/>
      <c r="LMA1" s="84"/>
      <c r="LMB1" s="84"/>
      <c r="LMC1" s="84"/>
      <c r="LMD1" s="84"/>
      <c r="LME1" s="84"/>
      <c r="LMF1" s="84"/>
      <c r="LMG1" s="84"/>
      <c r="LMH1" s="84"/>
      <c r="LMI1" s="84"/>
      <c r="LMJ1" s="84"/>
      <c r="LMK1" s="84"/>
      <c r="LML1" s="84"/>
      <c r="LMM1" s="84"/>
      <c r="LMN1" s="84"/>
      <c r="LMO1" s="84"/>
      <c r="LMP1" s="84"/>
      <c r="LMQ1" s="84"/>
      <c r="LMR1" s="84"/>
      <c r="LMS1" s="84"/>
      <c r="LMT1" s="84"/>
      <c r="LMU1" s="84"/>
      <c r="LMV1" s="84"/>
      <c r="LMW1" s="84"/>
      <c r="LMX1" s="84"/>
      <c r="LMY1" s="84"/>
      <c r="LMZ1" s="84"/>
      <c r="LNA1" s="84"/>
      <c r="LNB1" s="84"/>
      <c r="LNC1" s="84"/>
      <c r="LND1" s="84"/>
      <c r="LNE1" s="84"/>
      <c r="LNF1" s="84"/>
      <c r="LNG1" s="84"/>
      <c r="LNH1" s="84"/>
      <c r="LNI1" s="84"/>
      <c r="LNJ1" s="84"/>
      <c r="LNK1" s="84"/>
      <c r="LNL1" s="84"/>
      <c r="LNM1" s="84"/>
      <c r="LNN1" s="84"/>
      <c r="LNO1" s="84"/>
      <c r="LNP1" s="84"/>
      <c r="LNQ1" s="84"/>
      <c r="LNR1" s="84"/>
      <c r="LNS1" s="84"/>
      <c r="LNT1" s="84"/>
      <c r="LNU1" s="84"/>
      <c r="LNV1" s="84"/>
      <c r="LNW1" s="84"/>
      <c r="LNX1" s="84"/>
      <c r="LNY1" s="84"/>
      <c r="LNZ1" s="84"/>
      <c r="LOA1" s="84"/>
      <c r="LOB1" s="84"/>
      <c r="LOC1" s="84"/>
      <c r="LOD1" s="84"/>
      <c r="LOE1" s="84"/>
      <c r="LOF1" s="84"/>
      <c r="LOG1" s="84"/>
      <c r="LOH1" s="84"/>
      <c r="LOI1" s="84"/>
      <c r="LOJ1" s="84"/>
      <c r="LOK1" s="84"/>
      <c r="LOL1" s="84"/>
      <c r="LOM1" s="84"/>
      <c r="LON1" s="84"/>
      <c r="LOO1" s="84"/>
      <c r="LOP1" s="84"/>
      <c r="LOQ1" s="84"/>
      <c r="LOR1" s="84"/>
      <c r="LOS1" s="84"/>
      <c r="LOT1" s="84"/>
      <c r="LOU1" s="84"/>
      <c r="LOV1" s="84"/>
      <c r="LOW1" s="84"/>
      <c r="LOX1" s="84"/>
      <c r="LOY1" s="84"/>
      <c r="LOZ1" s="84"/>
      <c r="LPA1" s="84"/>
      <c r="LPB1" s="84"/>
      <c r="LPC1" s="84"/>
      <c r="LPD1" s="84"/>
      <c r="LPE1" s="84"/>
      <c r="LPF1" s="84"/>
      <c r="LPG1" s="84"/>
      <c r="LPH1" s="84"/>
      <c r="LPI1" s="84"/>
      <c r="LPJ1" s="84"/>
      <c r="LPK1" s="84"/>
      <c r="LPL1" s="84"/>
      <c r="LPM1" s="84"/>
      <c r="LPN1" s="84"/>
      <c r="LPO1" s="84"/>
      <c r="LPP1" s="84"/>
      <c r="LPQ1" s="84"/>
      <c r="LPR1" s="84"/>
      <c r="LPS1" s="84"/>
      <c r="LPT1" s="84"/>
      <c r="LPU1" s="84"/>
      <c r="LPV1" s="84"/>
      <c r="LPW1" s="84"/>
      <c r="LPX1" s="84"/>
      <c r="LPY1" s="84"/>
      <c r="LPZ1" s="84"/>
      <c r="LQA1" s="84"/>
      <c r="LQB1" s="84"/>
      <c r="LQC1" s="84"/>
      <c r="LQD1" s="84"/>
      <c r="LQE1" s="84"/>
      <c r="LQF1" s="84"/>
      <c r="LQG1" s="84"/>
      <c r="LQH1" s="84"/>
      <c r="LQI1" s="84"/>
      <c r="LQJ1" s="84"/>
      <c r="LQK1" s="84"/>
      <c r="LQL1" s="84"/>
      <c r="LQM1" s="84"/>
      <c r="LQN1" s="84"/>
      <c r="LQO1" s="84"/>
      <c r="LQP1" s="84"/>
      <c r="LQQ1" s="84"/>
      <c r="LQR1" s="84"/>
      <c r="LQS1" s="84"/>
      <c r="LQT1" s="84"/>
      <c r="LQU1" s="84"/>
      <c r="LQV1" s="84"/>
      <c r="LQW1" s="84"/>
      <c r="LQX1" s="84"/>
      <c r="LQY1" s="84"/>
      <c r="LQZ1" s="84"/>
      <c r="LRA1" s="84"/>
      <c r="LRB1" s="84"/>
      <c r="LRC1" s="84"/>
      <c r="LRD1" s="84"/>
      <c r="LRE1" s="84"/>
      <c r="LRF1" s="84"/>
      <c r="LRG1" s="84"/>
      <c r="LRH1" s="84"/>
      <c r="LRI1" s="84"/>
      <c r="LRJ1" s="84"/>
      <c r="LRK1" s="84"/>
      <c r="LRL1" s="84"/>
      <c r="LRM1" s="84"/>
      <c r="LRN1" s="84"/>
      <c r="LRO1" s="84"/>
      <c r="LRP1" s="84"/>
      <c r="LRQ1" s="84"/>
      <c r="LRR1" s="84"/>
      <c r="LRS1" s="84"/>
      <c r="LRT1" s="84"/>
      <c r="LRU1" s="84"/>
      <c r="LRV1" s="84"/>
      <c r="LRW1" s="84"/>
      <c r="LRX1" s="84"/>
      <c r="LRY1" s="84"/>
      <c r="LRZ1" s="84"/>
      <c r="LSA1" s="84"/>
      <c r="LSB1" s="84"/>
      <c r="LSC1" s="84"/>
      <c r="LSD1" s="84"/>
      <c r="LSE1" s="84"/>
      <c r="LSF1" s="84"/>
      <c r="LSG1" s="84"/>
      <c r="LSH1" s="84"/>
      <c r="LSI1" s="84"/>
      <c r="LSJ1" s="84"/>
      <c r="LSK1" s="84"/>
      <c r="LSL1" s="84"/>
      <c r="LSM1" s="84"/>
      <c r="LSN1" s="84"/>
      <c r="LSO1" s="84"/>
      <c r="LSP1" s="84"/>
      <c r="LSQ1" s="84"/>
      <c r="LSR1" s="84"/>
      <c r="LSS1" s="84"/>
      <c r="LST1" s="84"/>
      <c r="LSU1" s="84"/>
      <c r="LSV1" s="84"/>
      <c r="LSW1" s="84"/>
      <c r="LSX1" s="84"/>
      <c r="LSY1" s="84"/>
      <c r="LSZ1" s="84"/>
      <c r="LTA1" s="84"/>
      <c r="LTB1" s="84"/>
      <c r="LTC1" s="84"/>
      <c r="LTD1" s="84"/>
      <c r="LTE1" s="84"/>
      <c r="LTF1" s="84"/>
      <c r="LTG1" s="84"/>
      <c r="LTH1" s="84"/>
      <c r="LTI1" s="84"/>
      <c r="LTJ1" s="84"/>
      <c r="LTK1" s="84"/>
      <c r="LTL1" s="84"/>
      <c r="LTM1" s="84"/>
      <c r="LTN1" s="84"/>
      <c r="LTO1" s="84"/>
      <c r="LTP1" s="84"/>
      <c r="LTQ1" s="84"/>
      <c r="LTR1" s="84"/>
      <c r="LTS1" s="84"/>
      <c r="LTT1" s="84"/>
      <c r="LTU1" s="84"/>
      <c r="LTV1" s="84"/>
      <c r="LTW1" s="84"/>
      <c r="LTX1" s="84"/>
      <c r="LTY1" s="84"/>
      <c r="LTZ1" s="84"/>
      <c r="LUA1" s="84"/>
      <c r="LUB1" s="84"/>
      <c r="LUC1" s="84"/>
      <c r="LUD1" s="84"/>
      <c r="LUE1" s="84"/>
      <c r="LUF1" s="84"/>
      <c r="LUG1" s="84"/>
      <c r="LUH1" s="84"/>
      <c r="LUI1" s="84"/>
      <c r="LUJ1" s="84"/>
      <c r="LUK1" s="84"/>
      <c r="LUL1" s="84"/>
      <c r="LUM1" s="84"/>
      <c r="LUN1" s="84"/>
      <c r="LUO1" s="84"/>
      <c r="LUP1" s="84"/>
      <c r="LUQ1" s="84"/>
      <c r="LUR1" s="84"/>
      <c r="LUS1" s="84"/>
      <c r="LUT1" s="84"/>
      <c r="LUU1" s="84"/>
      <c r="LUV1" s="84"/>
      <c r="LUW1" s="84"/>
      <c r="LUX1" s="84"/>
      <c r="LUY1" s="84"/>
      <c r="LUZ1" s="84"/>
      <c r="LVA1" s="84"/>
      <c r="LVB1" s="84"/>
      <c r="LVC1" s="84"/>
      <c r="LVD1" s="84"/>
      <c r="LVE1" s="84"/>
      <c r="LVF1" s="84"/>
      <c r="LVG1" s="84"/>
      <c r="LVH1" s="84"/>
      <c r="LVI1" s="84"/>
      <c r="LVJ1" s="84"/>
      <c r="LVK1" s="84"/>
      <c r="LVL1" s="84"/>
      <c r="LVM1" s="84"/>
      <c r="LVN1" s="84"/>
      <c r="LVO1" s="84"/>
      <c r="LVP1" s="84"/>
      <c r="LVQ1" s="84"/>
      <c r="LVR1" s="84"/>
      <c r="LVS1" s="84"/>
      <c r="LVT1" s="84"/>
      <c r="LVU1" s="84"/>
      <c r="LVV1" s="84"/>
      <c r="LVW1" s="84"/>
      <c r="LVX1" s="84"/>
      <c r="LVY1" s="84"/>
      <c r="LVZ1" s="84"/>
      <c r="LWA1" s="84"/>
      <c r="LWB1" s="84"/>
      <c r="LWC1" s="84"/>
      <c r="LWD1" s="84"/>
      <c r="LWE1" s="84"/>
      <c r="LWF1" s="84"/>
      <c r="LWG1" s="84"/>
      <c r="LWH1" s="84"/>
      <c r="LWI1" s="84"/>
      <c r="LWJ1" s="84"/>
      <c r="LWK1" s="84"/>
      <c r="LWL1" s="84"/>
      <c r="LWM1" s="84"/>
      <c r="LWN1" s="84"/>
      <c r="LWO1" s="84"/>
      <c r="LWP1" s="84"/>
      <c r="LWQ1" s="84"/>
      <c r="LWR1" s="84"/>
      <c r="LWS1" s="84"/>
      <c r="LWT1" s="84"/>
      <c r="LWU1" s="84"/>
      <c r="LWV1" s="84"/>
      <c r="LWW1" s="84"/>
      <c r="LWX1" s="84"/>
      <c r="LWY1" s="84"/>
      <c r="LWZ1" s="84"/>
      <c r="LXA1" s="84"/>
      <c r="LXB1" s="84"/>
      <c r="LXC1" s="84"/>
      <c r="LXD1" s="84"/>
      <c r="LXE1" s="84"/>
      <c r="LXF1" s="84"/>
      <c r="LXG1" s="84"/>
      <c r="LXH1" s="84"/>
      <c r="LXI1" s="84"/>
      <c r="LXJ1" s="84"/>
      <c r="LXK1" s="84"/>
      <c r="LXL1" s="84"/>
      <c r="LXM1" s="84"/>
      <c r="LXN1" s="84"/>
      <c r="LXO1" s="84"/>
      <c r="LXP1" s="84"/>
      <c r="LXQ1" s="84"/>
      <c r="LXR1" s="84"/>
      <c r="LXS1" s="84"/>
      <c r="LXT1" s="84"/>
      <c r="LXU1" s="84"/>
      <c r="LXV1" s="84"/>
      <c r="LXW1" s="84"/>
      <c r="LXX1" s="84"/>
      <c r="LXY1" s="84"/>
      <c r="LXZ1" s="84"/>
      <c r="LYA1" s="84"/>
      <c r="LYB1" s="84"/>
      <c r="LYC1" s="84"/>
      <c r="LYD1" s="84"/>
      <c r="LYE1" s="84"/>
      <c r="LYF1" s="84"/>
      <c r="LYG1" s="84"/>
      <c r="LYH1" s="84"/>
      <c r="LYI1" s="84"/>
      <c r="LYJ1" s="84"/>
      <c r="LYK1" s="84"/>
      <c r="LYL1" s="84"/>
      <c r="LYM1" s="84"/>
      <c r="LYN1" s="84"/>
      <c r="LYO1" s="84"/>
      <c r="LYP1" s="84"/>
      <c r="LYQ1" s="84"/>
      <c r="LYR1" s="84"/>
      <c r="LYS1" s="84"/>
      <c r="LYT1" s="84"/>
      <c r="LYU1" s="84"/>
      <c r="LYV1" s="84"/>
      <c r="LYW1" s="84"/>
      <c r="LYX1" s="84"/>
      <c r="LYY1" s="84"/>
      <c r="LYZ1" s="84"/>
      <c r="LZA1" s="84"/>
      <c r="LZB1" s="84"/>
      <c r="LZC1" s="84"/>
      <c r="LZD1" s="84"/>
      <c r="LZE1" s="84"/>
      <c r="LZF1" s="84"/>
      <c r="LZG1" s="84"/>
      <c r="LZH1" s="84"/>
      <c r="LZI1" s="84"/>
      <c r="LZJ1" s="84"/>
      <c r="LZK1" s="84"/>
      <c r="LZL1" s="84"/>
      <c r="LZM1" s="84"/>
      <c r="LZN1" s="84"/>
      <c r="LZO1" s="84"/>
      <c r="LZP1" s="84"/>
      <c r="LZQ1" s="84"/>
      <c r="LZR1" s="84"/>
      <c r="LZS1" s="84"/>
      <c r="LZT1" s="84"/>
      <c r="LZU1" s="84"/>
      <c r="LZV1" s="84"/>
      <c r="LZW1" s="84"/>
      <c r="LZX1" s="84"/>
      <c r="LZY1" s="84"/>
      <c r="LZZ1" s="84"/>
      <c r="MAA1" s="84"/>
      <c r="MAB1" s="84"/>
      <c r="MAC1" s="84"/>
      <c r="MAD1" s="84"/>
      <c r="MAE1" s="84"/>
      <c r="MAF1" s="84"/>
      <c r="MAG1" s="84"/>
      <c r="MAH1" s="84"/>
      <c r="MAI1" s="84"/>
      <c r="MAJ1" s="84"/>
      <c r="MAK1" s="84"/>
      <c r="MAL1" s="84"/>
      <c r="MAM1" s="84"/>
      <c r="MAN1" s="84"/>
      <c r="MAO1" s="84"/>
      <c r="MAP1" s="84"/>
      <c r="MAQ1" s="84"/>
      <c r="MAR1" s="84"/>
      <c r="MAS1" s="84"/>
      <c r="MAT1" s="84"/>
      <c r="MAU1" s="84"/>
      <c r="MAV1" s="84"/>
      <c r="MAW1" s="84"/>
      <c r="MAX1" s="84"/>
      <c r="MAY1" s="84"/>
      <c r="MAZ1" s="84"/>
      <c r="MBA1" s="84"/>
      <c r="MBB1" s="84"/>
      <c r="MBC1" s="84"/>
      <c r="MBD1" s="84"/>
      <c r="MBE1" s="84"/>
      <c r="MBF1" s="84"/>
      <c r="MBG1" s="84"/>
      <c r="MBH1" s="84"/>
      <c r="MBI1" s="84"/>
      <c r="MBJ1" s="84"/>
      <c r="MBK1" s="84"/>
      <c r="MBL1" s="84"/>
      <c r="MBM1" s="84"/>
      <c r="MBN1" s="84"/>
      <c r="MBO1" s="84"/>
      <c r="MBP1" s="84"/>
      <c r="MBQ1" s="84"/>
      <c r="MBR1" s="84"/>
      <c r="MBS1" s="84"/>
      <c r="MBT1" s="84"/>
      <c r="MBU1" s="84"/>
      <c r="MBV1" s="84"/>
      <c r="MBW1" s="84"/>
      <c r="MBX1" s="84"/>
      <c r="MBY1" s="84"/>
      <c r="MBZ1" s="84"/>
      <c r="MCA1" s="84"/>
      <c r="MCB1" s="84"/>
      <c r="MCC1" s="84"/>
      <c r="MCD1" s="84"/>
      <c r="MCE1" s="84"/>
      <c r="MCF1" s="84"/>
      <c r="MCG1" s="84"/>
      <c r="MCH1" s="84"/>
      <c r="MCI1" s="84"/>
      <c r="MCJ1" s="84"/>
      <c r="MCK1" s="84"/>
      <c r="MCL1" s="84"/>
      <c r="MCM1" s="84"/>
      <c r="MCN1" s="84"/>
      <c r="MCO1" s="84"/>
      <c r="MCP1" s="84"/>
      <c r="MCQ1" s="84"/>
      <c r="MCR1" s="84"/>
      <c r="MCS1" s="84"/>
      <c r="MCT1" s="84"/>
      <c r="MCU1" s="84"/>
      <c r="MCV1" s="84"/>
      <c r="MCW1" s="84"/>
      <c r="MCX1" s="84"/>
      <c r="MCY1" s="84"/>
      <c r="MCZ1" s="84"/>
      <c r="MDA1" s="84"/>
      <c r="MDB1" s="84"/>
      <c r="MDC1" s="84"/>
      <c r="MDD1" s="84"/>
      <c r="MDE1" s="84"/>
      <c r="MDF1" s="84"/>
      <c r="MDG1" s="84"/>
      <c r="MDH1" s="84"/>
      <c r="MDI1" s="84"/>
      <c r="MDJ1" s="84"/>
      <c r="MDK1" s="84"/>
      <c r="MDL1" s="84"/>
      <c r="MDM1" s="84"/>
      <c r="MDN1" s="84"/>
      <c r="MDO1" s="84"/>
      <c r="MDP1" s="84"/>
      <c r="MDQ1" s="84"/>
      <c r="MDR1" s="84"/>
      <c r="MDS1" s="84"/>
      <c r="MDT1" s="84"/>
      <c r="MDU1" s="84"/>
      <c r="MDV1" s="84"/>
      <c r="MDW1" s="84"/>
      <c r="MDX1" s="84"/>
      <c r="MDY1" s="84"/>
      <c r="MDZ1" s="84"/>
      <c r="MEA1" s="84"/>
      <c r="MEB1" s="84"/>
      <c r="MEC1" s="84"/>
      <c r="MED1" s="84"/>
      <c r="MEE1" s="84"/>
      <c r="MEF1" s="84"/>
      <c r="MEG1" s="84"/>
      <c r="MEH1" s="84"/>
      <c r="MEI1" s="84"/>
      <c r="MEJ1" s="84"/>
      <c r="MEK1" s="84"/>
      <c r="MEL1" s="84"/>
      <c r="MEM1" s="84"/>
      <c r="MEN1" s="84"/>
      <c r="MEO1" s="84"/>
      <c r="MEP1" s="84"/>
      <c r="MEQ1" s="84"/>
      <c r="MER1" s="84"/>
      <c r="MES1" s="84"/>
      <c r="MET1" s="84"/>
      <c r="MEU1" s="84"/>
      <c r="MEV1" s="84"/>
      <c r="MEW1" s="84"/>
      <c r="MEX1" s="84"/>
      <c r="MEY1" s="84"/>
      <c r="MEZ1" s="84"/>
      <c r="MFA1" s="84"/>
      <c r="MFB1" s="84"/>
      <c r="MFC1" s="84"/>
      <c r="MFD1" s="84"/>
      <c r="MFE1" s="84"/>
      <c r="MFF1" s="84"/>
      <c r="MFG1" s="84"/>
      <c r="MFH1" s="84"/>
      <c r="MFI1" s="84"/>
      <c r="MFJ1" s="84"/>
      <c r="MFK1" s="84"/>
      <c r="MFL1" s="84"/>
      <c r="MFM1" s="84"/>
      <c r="MFN1" s="84"/>
      <c r="MFO1" s="84"/>
      <c r="MFP1" s="84"/>
      <c r="MFQ1" s="84"/>
      <c r="MFR1" s="84"/>
      <c r="MFS1" s="84"/>
      <c r="MFT1" s="84"/>
      <c r="MFU1" s="84"/>
      <c r="MFV1" s="84"/>
      <c r="MFW1" s="84"/>
      <c r="MFX1" s="84"/>
      <c r="MFY1" s="84"/>
      <c r="MFZ1" s="84"/>
      <c r="MGA1" s="84"/>
      <c r="MGB1" s="84"/>
      <c r="MGC1" s="84"/>
      <c r="MGD1" s="84"/>
      <c r="MGE1" s="84"/>
      <c r="MGF1" s="84"/>
      <c r="MGG1" s="84"/>
      <c r="MGH1" s="84"/>
      <c r="MGI1" s="84"/>
      <c r="MGJ1" s="84"/>
      <c r="MGK1" s="84"/>
      <c r="MGL1" s="84"/>
      <c r="MGM1" s="84"/>
      <c r="MGN1" s="84"/>
      <c r="MGO1" s="84"/>
      <c r="MGP1" s="84"/>
      <c r="MGQ1" s="84"/>
      <c r="MGR1" s="84"/>
      <c r="MGS1" s="84"/>
      <c r="MGT1" s="84"/>
      <c r="MGU1" s="84"/>
      <c r="MGV1" s="84"/>
      <c r="MGW1" s="84"/>
      <c r="MGX1" s="84"/>
      <c r="MGY1" s="84"/>
      <c r="MGZ1" s="84"/>
      <c r="MHA1" s="84"/>
      <c r="MHB1" s="84"/>
      <c r="MHC1" s="84"/>
      <c r="MHD1" s="84"/>
      <c r="MHE1" s="84"/>
      <c r="MHF1" s="84"/>
      <c r="MHG1" s="84"/>
      <c r="MHH1" s="84"/>
      <c r="MHI1" s="84"/>
      <c r="MHJ1" s="84"/>
      <c r="MHK1" s="84"/>
      <c r="MHL1" s="84"/>
      <c r="MHM1" s="84"/>
      <c r="MHN1" s="84"/>
      <c r="MHO1" s="84"/>
      <c r="MHP1" s="84"/>
      <c r="MHQ1" s="84"/>
      <c r="MHR1" s="84"/>
      <c r="MHS1" s="84"/>
      <c r="MHT1" s="84"/>
      <c r="MHU1" s="84"/>
      <c r="MHV1" s="84"/>
      <c r="MHW1" s="84"/>
      <c r="MHX1" s="84"/>
      <c r="MHY1" s="84"/>
      <c r="MHZ1" s="84"/>
      <c r="MIA1" s="84"/>
      <c r="MIB1" s="84"/>
      <c r="MIC1" s="84"/>
      <c r="MID1" s="84"/>
      <c r="MIE1" s="84"/>
      <c r="MIF1" s="84"/>
      <c r="MIG1" s="84"/>
      <c r="MIH1" s="84"/>
      <c r="MII1" s="84"/>
      <c r="MIJ1" s="84"/>
      <c r="MIK1" s="84"/>
      <c r="MIL1" s="84"/>
      <c r="MIM1" s="84"/>
      <c r="MIN1" s="84"/>
      <c r="MIO1" s="84"/>
      <c r="MIP1" s="84"/>
      <c r="MIQ1" s="84"/>
      <c r="MIR1" s="84"/>
      <c r="MIS1" s="84"/>
      <c r="MIT1" s="84"/>
      <c r="MIU1" s="84"/>
      <c r="MIV1" s="84"/>
      <c r="MIW1" s="84"/>
      <c r="MIX1" s="84"/>
      <c r="MIY1" s="84"/>
      <c r="MIZ1" s="84"/>
      <c r="MJA1" s="84"/>
      <c r="MJB1" s="84"/>
      <c r="MJC1" s="84"/>
      <c r="MJD1" s="84"/>
      <c r="MJE1" s="84"/>
      <c r="MJF1" s="84"/>
      <c r="MJG1" s="84"/>
      <c r="MJH1" s="84"/>
      <c r="MJI1" s="84"/>
      <c r="MJJ1" s="84"/>
      <c r="MJK1" s="84"/>
      <c r="MJL1" s="84"/>
      <c r="MJM1" s="84"/>
      <c r="MJN1" s="84"/>
      <c r="MJO1" s="84"/>
      <c r="MJP1" s="84"/>
      <c r="MJQ1" s="84"/>
      <c r="MJR1" s="84"/>
      <c r="MJS1" s="84"/>
      <c r="MJT1" s="84"/>
      <c r="MJU1" s="84"/>
      <c r="MJV1" s="84"/>
      <c r="MJW1" s="84"/>
      <c r="MJX1" s="84"/>
      <c r="MJY1" s="84"/>
      <c r="MJZ1" s="84"/>
      <c r="MKA1" s="84"/>
      <c r="MKB1" s="84"/>
      <c r="MKC1" s="84"/>
      <c r="MKD1" s="84"/>
      <c r="MKE1" s="84"/>
      <c r="MKF1" s="84"/>
      <c r="MKG1" s="84"/>
      <c r="MKH1" s="84"/>
      <c r="MKI1" s="84"/>
      <c r="MKJ1" s="84"/>
      <c r="MKK1" s="84"/>
      <c r="MKL1" s="84"/>
      <c r="MKM1" s="84"/>
      <c r="MKN1" s="84"/>
      <c r="MKO1" s="84"/>
      <c r="MKP1" s="84"/>
      <c r="MKQ1" s="84"/>
      <c r="MKR1" s="84"/>
      <c r="MKS1" s="84"/>
      <c r="MKT1" s="84"/>
      <c r="MKU1" s="84"/>
      <c r="MKV1" s="84"/>
      <c r="MKW1" s="84"/>
      <c r="MKX1" s="84"/>
      <c r="MKY1" s="84"/>
      <c r="MKZ1" s="84"/>
      <c r="MLA1" s="84"/>
      <c r="MLB1" s="84"/>
      <c r="MLC1" s="84"/>
      <c r="MLD1" s="84"/>
      <c r="MLE1" s="84"/>
      <c r="MLF1" s="84"/>
      <c r="MLG1" s="84"/>
      <c r="MLH1" s="84"/>
      <c r="MLI1" s="84"/>
      <c r="MLJ1" s="84"/>
      <c r="MLK1" s="84"/>
      <c r="MLL1" s="84"/>
      <c r="MLM1" s="84"/>
      <c r="MLN1" s="84"/>
      <c r="MLO1" s="84"/>
      <c r="MLP1" s="84"/>
      <c r="MLQ1" s="84"/>
      <c r="MLR1" s="84"/>
      <c r="MLS1" s="84"/>
      <c r="MLT1" s="84"/>
      <c r="MLU1" s="84"/>
      <c r="MLV1" s="84"/>
      <c r="MLW1" s="84"/>
      <c r="MLX1" s="84"/>
      <c r="MLY1" s="84"/>
      <c r="MLZ1" s="84"/>
      <c r="MMA1" s="84"/>
      <c r="MMB1" s="84"/>
      <c r="MMC1" s="84"/>
      <c r="MMD1" s="84"/>
      <c r="MME1" s="84"/>
      <c r="MMF1" s="84"/>
      <c r="MMG1" s="84"/>
      <c r="MMH1" s="84"/>
      <c r="MMI1" s="84"/>
      <c r="MMJ1" s="84"/>
      <c r="MMK1" s="84"/>
      <c r="MML1" s="84"/>
      <c r="MMM1" s="84"/>
      <c r="MMN1" s="84"/>
      <c r="MMO1" s="84"/>
      <c r="MMP1" s="84"/>
      <c r="MMQ1" s="84"/>
      <c r="MMR1" s="84"/>
      <c r="MMS1" s="84"/>
      <c r="MMT1" s="84"/>
      <c r="MMU1" s="84"/>
      <c r="MMV1" s="84"/>
      <c r="MMW1" s="84"/>
      <c r="MMX1" s="84"/>
      <c r="MMY1" s="84"/>
      <c r="MMZ1" s="84"/>
      <c r="MNA1" s="84"/>
      <c r="MNB1" s="84"/>
      <c r="MNC1" s="84"/>
      <c r="MND1" s="84"/>
      <c r="MNE1" s="84"/>
      <c r="MNF1" s="84"/>
      <c r="MNG1" s="84"/>
      <c r="MNH1" s="84"/>
      <c r="MNI1" s="84"/>
      <c r="MNJ1" s="84"/>
      <c r="MNK1" s="84"/>
      <c r="MNL1" s="84"/>
      <c r="MNM1" s="84"/>
      <c r="MNN1" s="84"/>
      <c r="MNO1" s="84"/>
      <c r="MNP1" s="84"/>
      <c r="MNQ1" s="84"/>
      <c r="MNR1" s="84"/>
      <c r="MNS1" s="84"/>
      <c r="MNT1" s="84"/>
      <c r="MNU1" s="84"/>
      <c r="MNV1" s="84"/>
      <c r="MNW1" s="84"/>
      <c r="MNX1" s="84"/>
      <c r="MNY1" s="84"/>
      <c r="MNZ1" s="84"/>
      <c r="MOA1" s="84"/>
      <c r="MOB1" s="84"/>
      <c r="MOC1" s="84"/>
      <c r="MOD1" s="84"/>
      <c r="MOE1" s="84"/>
      <c r="MOF1" s="84"/>
      <c r="MOG1" s="84"/>
      <c r="MOH1" s="84"/>
      <c r="MOI1" s="84"/>
      <c r="MOJ1" s="84"/>
      <c r="MOK1" s="84"/>
      <c r="MOL1" s="84"/>
      <c r="MOM1" s="84"/>
      <c r="MON1" s="84"/>
      <c r="MOO1" s="84"/>
      <c r="MOP1" s="84"/>
      <c r="MOQ1" s="84"/>
      <c r="MOR1" s="84"/>
      <c r="MOS1" s="84"/>
      <c r="MOT1" s="84"/>
      <c r="MOU1" s="84"/>
      <c r="MOV1" s="84"/>
      <c r="MOW1" s="84"/>
      <c r="MOX1" s="84"/>
      <c r="MOY1" s="84"/>
      <c r="MOZ1" s="84"/>
      <c r="MPA1" s="84"/>
      <c r="MPB1" s="84"/>
      <c r="MPC1" s="84"/>
      <c r="MPD1" s="84"/>
      <c r="MPE1" s="84"/>
      <c r="MPF1" s="84"/>
      <c r="MPG1" s="84"/>
      <c r="MPH1" s="84"/>
      <c r="MPI1" s="84"/>
      <c r="MPJ1" s="84"/>
      <c r="MPK1" s="84"/>
      <c r="MPL1" s="84"/>
      <c r="MPM1" s="84"/>
      <c r="MPN1" s="84"/>
      <c r="MPO1" s="84"/>
      <c r="MPP1" s="84"/>
      <c r="MPQ1" s="84"/>
      <c r="MPR1" s="84"/>
      <c r="MPS1" s="84"/>
      <c r="MPT1" s="84"/>
      <c r="MPU1" s="84"/>
      <c r="MPV1" s="84"/>
      <c r="MPW1" s="84"/>
      <c r="MPX1" s="84"/>
      <c r="MPY1" s="84"/>
      <c r="MPZ1" s="84"/>
      <c r="MQA1" s="84"/>
      <c r="MQB1" s="84"/>
      <c r="MQC1" s="84"/>
      <c r="MQD1" s="84"/>
      <c r="MQE1" s="84"/>
      <c r="MQF1" s="84"/>
      <c r="MQG1" s="84"/>
      <c r="MQH1" s="84"/>
      <c r="MQI1" s="84"/>
      <c r="MQJ1" s="84"/>
      <c r="MQK1" s="84"/>
      <c r="MQL1" s="84"/>
      <c r="MQM1" s="84"/>
      <c r="MQN1" s="84"/>
      <c r="MQO1" s="84"/>
      <c r="MQP1" s="84"/>
      <c r="MQQ1" s="84"/>
      <c r="MQR1" s="84"/>
      <c r="MQS1" s="84"/>
      <c r="MQT1" s="84"/>
      <c r="MQU1" s="84"/>
      <c r="MQV1" s="84"/>
      <c r="MQW1" s="84"/>
      <c r="MQX1" s="84"/>
      <c r="MQY1" s="84"/>
      <c r="MQZ1" s="84"/>
      <c r="MRA1" s="84"/>
      <c r="MRB1" s="84"/>
      <c r="MRC1" s="84"/>
      <c r="MRD1" s="84"/>
      <c r="MRE1" s="84"/>
      <c r="MRF1" s="84"/>
      <c r="MRG1" s="84"/>
      <c r="MRH1" s="84"/>
      <c r="MRI1" s="84"/>
      <c r="MRJ1" s="84"/>
      <c r="MRK1" s="84"/>
      <c r="MRL1" s="84"/>
      <c r="MRM1" s="84"/>
      <c r="MRN1" s="84"/>
      <c r="MRO1" s="84"/>
      <c r="MRP1" s="84"/>
      <c r="MRQ1" s="84"/>
      <c r="MRR1" s="84"/>
      <c r="MRS1" s="84"/>
      <c r="MRT1" s="84"/>
      <c r="MRU1" s="84"/>
      <c r="MRV1" s="84"/>
      <c r="MRW1" s="84"/>
      <c r="MRX1" s="84"/>
      <c r="MRY1" s="84"/>
      <c r="MRZ1" s="84"/>
      <c r="MSA1" s="84"/>
      <c r="MSB1" s="84"/>
      <c r="MSC1" s="84"/>
      <c r="MSD1" s="84"/>
      <c r="MSE1" s="84"/>
      <c r="MSF1" s="84"/>
      <c r="MSG1" s="84"/>
      <c r="MSH1" s="84"/>
      <c r="MSI1" s="84"/>
      <c r="MSJ1" s="84"/>
      <c r="MSK1" s="84"/>
      <c r="MSL1" s="84"/>
      <c r="MSM1" s="84"/>
      <c r="MSN1" s="84"/>
      <c r="MSO1" s="84"/>
      <c r="MSP1" s="84"/>
      <c r="MSQ1" s="84"/>
      <c r="MSR1" s="84"/>
      <c r="MSS1" s="84"/>
      <c r="MST1" s="84"/>
      <c r="MSU1" s="84"/>
      <c r="MSV1" s="84"/>
      <c r="MSW1" s="84"/>
      <c r="MSX1" s="84"/>
      <c r="MSY1" s="84"/>
      <c r="MSZ1" s="84"/>
      <c r="MTA1" s="84"/>
      <c r="MTB1" s="84"/>
      <c r="MTC1" s="84"/>
      <c r="MTD1" s="84"/>
      <c r="MTE1" s="84"/>
      <c r="MTF1" s="84"/>
      <c r="MTG1" s="84"/>
      <c r="MTH1" s="84"/>
      <c r="MTI1" s="84"/>
      <c r="MTJ1" s="84"/>
      <c r="MTK1" s="84"/>
      <c r="MTL1" s="84"/>
      <c r="MTM1" s="84"/>
      <c r="MTN1" s="84"/>
      <c r="MTO1" s="84"/>
      <c r="MTP1" s="84"/>
      <c r="MTQ1" s="84"/>
      <c r="MTR1" s="84"/>
      <c r="MTS1" s="84"/>
      <c r="MTT1" s="84"/>
      <c r="MTU1" s="84"/>
      <c r="MTV1" s="84"/>
      <c r="MTW1" s="84"/>
      <c r="MTX1" s="84"/>
      <c r="MTY1" s="84"/>
      <c r="MTZ1" s="84"/>
      <c r="MUA1" s="84"/>
      <c r="MUB1" s="84"/>
      <c r="MUC1" s="84"/>
      <c r="MUD1" s="84"/>
      <c r="MUE1" s="84"/>
      <c r="MUF1" s="84"/>
      <c r="MUG1" s="84"/>
      <c r="MUH1" s="84"/>
      <c r="MUI1" s="84"/>
      <c r="MUJ1" s="84"/>
      <c r="MUK1" s="84"/>
      <c r="MUL1" s="84"/>
      <c r="MUM1" s="84"/>
      <c r="MUN1" s="84"/>
      <c r="MUO1" s="84"/>
      <c r="MUP1" s="84"/>
      <c r="MUQ1" s="84"/>
      <c r="MUR1" s="84"/>
      <c r="MUS1" s="84"/>
      <c r="MUT1" s="84"/>
      <c r="MUU1" s="84"/>
      <c r="MUV1" s="84"/>
      <c r="MUW1" s="84"/>
      <c r="MUX1" s="84"/>
      <c r="MUY1" s="84"/>
      <c r="MUZ1" s="84"/>
      <c r="MVA1" s="84"/>
      <c r="MVB1" s="84"/>
      <c r="MVC1" s="84"/>
      <c r="MVD1" s="84"/>
      <c r="MVE1" s="84"/>
      <c r="MVF1" s="84"/>
      <c r="MVG1" s="84"/>
      <c r="MVH1" s="84"/>
      <c r="MVI1" s="84"/>
      <c r="MVJ1" s="84"/>
      <c r="MVK1" s="84"/>
      <c r="MVL1" s="84"/>
      <c r="MVM1" s="84"/>
      <c r="MVN1" s="84"/>
      <c r="MVO1" s="84"/>
      <c r="MVP1" s="84"/>
      <c r="MVQ1" s="84"/>
      <c r="MVR1" s="84"/>
      <c r="MVS1" s="84"/>
      <c r="MVT1" s="84"/>
      <c r="MVU1" s="84"/>
      <c r="MVV1" s="84"/>
      <c r="MVW1" s="84"/>
      <c r="MVX1" s="84"/>
      <c r="MVY1" s="84"/>
      <c r="MVZ1" s="84"/>
      <c r="MWA1" s="84"/>
      <c r="MWB1" s="84"/>
      <c r="MWC1" s="84"/>
      <c r="MWD1" s="84"/>
      <c r="MWE1" s="84"/>
      <c r="MWF1" s="84"/>
      <c r="MWG1" s="84"/>
      <c r="MWH1" s="84"/>
      <c r="MWI1" s="84"/>
      <c r="MWJ1" s="84"/>
      <c r="MWK1" s="84"/>
      <c r="MWL1" s="84"/>
      <c r="MWM1" s="84"/>
      <c r="MWN1" s="84"/>
      <c r="MWO1" s="84"/>
      <c r="MWP1" s="84"/>
      <c r="MWQ1" s="84"/>
      <c r="MWR1" s="84"/>
      <c r="MWS1" s="84"/>
      <c r="MWT1" s="84"/>
      <c r="MWU1" s="84"/>
      <c r="MWV1" s="84"/>
      <c r="MWW1" s="84"/>
      <c r="MWX1" s="84"/>
      <c r="MWY1" s="84"/>
      <c r="MWZ1" s="84"/>
      <c r="MXA1" s="84"/>
      <c r="MXB1" s="84"/>
      <c r="MXC1" s="84"/>
      <c r="MXD1" s="84"/>
      <c r="MXE1" s="84"/>
      <c r="MXF1" s="84"/>
      <c r="MXG1" s="84"/>
      <c r="MXH1" s="84"/>
      <c r="MXI1" s="84"/>
      <c r="MXJ1" s="84"/>
      <c r="MXK1" s="84"/>
      <c r="MXL1" s="84"/>
      <c r="MXM1" s="84"/>
      <c r="MXN1" s="84"/>
      <c r="MXO1" s="84"/>
      <c r="MXP1" s="84"/>
      <c r="MXQ1" s="84"/>
      <c r="MXR1" s="84"/>
      <c r="MXS1" s="84"/>
      <c r="MXT1" s="84"/>
      <c r="MXU1" s="84"/>
      <c r="MXV1" s="84"/>
      <c r="MXW1" s="84"/>
      <c r="MXX1" s="84"/>
      <c r="MXY1" s="84"/>
      <c r="MXZ1" s="84"/>
      <c r="MYA1" s="84"/>
      <c r="MYB1" s="84"/>
      <c r="MYC1" s="84"/>
      <c r="MYD1" s="84"/>
      <c r="MYE1" s="84"/>
      <c r="MYF1" s="84"/>
      <c r="MYG1" s="84"/>
      <c r="MYH1" s="84"/>
      <c r="MYI1" s="84"/>
      <c r="MYJ1" s="84"/>
      <c r="MYK1" s="84"/>
      <c r="MYL1" s="84"/>
      <c r="MYM1" s="84"/>
      <c r="MYN1" s="84"/>
      <c r="MYO1" s="84"/>
      <c r="MYP1" s="84"/>
      <c r="MYQ1" s="84"/>
      <c r="MYR1" s="84"/>
      <c r="MYS1" s="84"/>
      <c r="MYT1" s="84"/>
      <c r="MYU1" s="84"/>
      <c r="MYV1" s="84"/>
      <c r="MYW1" s="84"/>
      <c r="MYX1" s="84"/>
      <c r="MYY1" s="84"/>
      <c r="MYZ1" s="84"/>
      <c r="MZA1" s="84"/>
      <c r="MZB1" s="84"/>
      <c r="MZC1" s="84"/>
      <c r="MZD1" s="84"/>
      <c r="MZE1" s="84"/>
      <c r="MZF1" s="84"/>
      <c r="MZG1" s="84"/>
      <c r="MZH1" s="84"/>
      <c r="MZI1" s="84"/>
      <c r="MZJ1" s="84"/>
      <c r="MZK1" s="84"/>
      <c r="MZL1" s="84"/>
      <c r="MZM1" s="84"/>
      <c r="MZN1" s="84"/>
      <c r="MZO1" s="84"/>
      <c r="MZP1" s="84"/>
      <c r="MZQ1" s="84"/>
      <c r="MZR1" s="84"/>
      <c r="MZS1" s="84"/>
      <c r="MZT1" s="84"/>
      <c r="MZU1" s="84"/>
      <c r="MZV1" s="84"/>
      <c r="MZW1" s="84"/>
      <c r="MZX1" s="84"/>
      <c r="MZY1" s="84"/>
      <c r="MZZ1" s="84"/>
      <c r="NAA1" s="84"/>
      <c r="NAB1" s="84"/>
      <c r="NAC1" s="84"/>
      <c r="NAD1" s="84"/>
      <c r="NAE1" s="84"/>
      <c r="NAF1" s="84"/>
      <c r="NAG1" s="84"/>
      <c r="NAH1" s="84"/>
      <c r="NAI1" s="84"/>
      <c r="NAJ1" s="84"/>
      <c r="NAK1" s="84"/>
      <c r="NAL1" s="84"/>
      <c r="NAM1" s="84"/>
      <c r="NAN1" s="84"/>
      <c r="NAO1" s="84"/>
      <c r="NAP1" s="84"/>
      <c r="NAQ1" s="84"/>
      <c r="NAR1" s="84"/>
      <c r="NAS1" s="84"/>
      <c r="NAT1" s="84"/>
      <c r="NAU1" s="84"/>
      <c r="NAV1" s="84"/>
      <c r="NAW1" s="84"/>
      <c r="NAX1" s="84"/>
      <c r="NAY1" s="84"/>
      <c r="NAZ1" s="84"/>
      <c r="NBA1" s="84"/>
      <c r="NBB1" s="84"/>
      <c r="NBC1" s="84"/>
      <c r="NBD1" s="84"/>
      <c r="NBE1" s="84"/>
      <c r="NBF1" s="84"/>
      <c r="NBG1" s="84"/>
      <c r="NBH1" s="84"/>
      <c r="NBI1" s="84"/>
      <c r="NBJ1" s="84"/>
      <c r="NBK1" s="84"/>
      <c r="NBL1" s="84"/>
      <c r="NBM1" s="84"/>
      <c r="NBN1" s="84"/>
      <c r="NBO1" s="84"/>
      <c r="NBP1" s="84"/>
      <c r="NBQ1" s="84"/>
      <c r="NBR1" s="84"/>
      <c r="NBS1" s="84"/>
      <c r="NBT1" s="84"/>
      <c r="NBU1" s="84"/>
      <c r="NBV1" s="84"/>
      <c r="NBW1" s="84"/>
      <c r="NBX1" s="84"/>
      <c r="NBY1" s="84"/>
      <c r="NBZ1" s="84"/>
      <c r="NCA1" s="84"/>
      <c r="NCB1" s="84"/>
      <c r="NCC1" s="84"/>
      <c r="NCD1" s="84"/>
      <c r="NCE1" s="84"/>
      <c r="NCF1" s="84"/>
      <c r="NCG1" s="84"/>
      <c r="NCH1" s="84"/>
      <c r="NCI1" s="84"/>
      <c r="NCJ1" s="84"/>
      <c r="NCK1" s="84"/>
      <c r="NCL1" s="84"/>
      <c r="NCM1" s="84"/>
      <c r="NCN1" s="84"/>
      <c r="NCO1" s="84"/>
      <c r="NCP1" s="84"/>
      <c r="NCQ1" s="84"/>
      <c r="NCR1" s="84"/>
      <c r="NCS1" s="84"/>
      <c r="NCT1" s="84"/>
      <c r="NCU1" s="84"/>
      <c r="NCV1" s="84"/>
      <c r="NCW1" s="84"/>
      <c r="NCX1" s="84"/>
      <c r="NCY1" s="84"/>
      <c r="NCZ1" s="84"/>
      <c r="NDA1" s="84"/>
      <c r="NDB1" s="84"/>
      <c r="NDC1" s="84"/>
      <c r="NDD1" s="84"/>
      <c r="NDE1" s="84"/>
      <c r="NDF1" s="84"/>
      <c r="NDG1" s="84"/>
      <c r="NDH1" s="84"/>
      <c r="NDI1" s="84"/>
      <c r="NDJ1" s="84"/>
      <c r="NDK1" s="84"/>
      <c r="NDL1" s="84"/>
      <c r="NDM1" s="84"/>
      <c r="NDN1" s="84"/>
      <c r="NDO1" s="84"/>
      <c r="NDP1" s="84"/>
      <c r="NDQ1" s="84"/>
      <c r="NDR1" s="84"/>
      <c r="NDS1" s="84"/>
      <c r="NDT1" s="84"/>
      <c r="NDU1" s="84"/>
      <c r="NDV1" s="84"/>
      <c r="NDW1" s="84"/>
      <c r="NDX1" s="84"/>
      <c r="NDY1" s="84"/>
      <c r="NDZ1" s="84"/>
      <c r="NEA1" s="84"/>
      <c r="NEB1" s="84"/>
      <c r="NEC1" s="84"/>
      <c r="NED1" s="84"/>
      <c r="NEE1" s="84"/>
      <c r="NEF1" s="84"/>
      <c r="NEG1" s="84"/>
      <c r="NEH1" s="84"/>
      <c r="NEI1" s="84"/>
      <c r="NEJ1" s="84"/>
      <c r="NEK1" s="84"/>
      <c r="NEL1" s="84"/>
      <c r="NEM1" s="84"/>
      <c r="NEN1" s="84"/>
      <c r="NEO1" s="84"/>
      <c r="NEP1" s="84"/>
      <c r="NEQ1" s="84"/>
      <c r="NER1" s="84"/>
      <c r="NES1" s="84"/>
      <c r="NET1" s="84"/>
      <c r="NEU1" s="84"/>
      <c r="NEV1" s="84"/>
      <c r="NEW1" s="84"/>
      <c r="NEX1" s="84"/>
      <c r="NEY1" s="84"/>
      <c r="NEZ1" s="84"/>
      <c r="NFA1" s="84"/>
      <c r="NFB1" s="84"/>
      <c r="NFC1" s="84"/>
      <c r="NFD1" s="84"/>
      <c r="NFE1" s="84"/>
      <c r="NFF1" s="84"/>
      <c r="NFG1" s="84"/>
      <c r="NFH1" s="84"/>
      <c r="NFI1" s="84"/>
      <c r="NFJ1" s="84"/>
      <c r="NFK1" s="84"/>
      <c r="NFL1" s="84"/>
      <c r="NFM1" s="84"/>
      <c r="NFN1" s="84"/>
      <c r="NFO1" s="84"/>
      <c r="NFP1" s="84"/>
      <c r="NFQ1" s="84"/>
      <c r="NFR1" s="84"/>
      <c r="NFS1" s="84"/>
      <c r="NFT1" s="84"/>
      <c r="NFU1" s="84"/>
      <c r="NFV1" s="84"/>
      <c r="NFW1" s="84"/>
      <c r="NFX1" s="84"/>
      <c r="NFY1" s="84"/>
      <c r="NFZ1" s="84"/>
      <c r="NGA1" s="84"/>
      <c r="NGB1" s="84"/>
      <c r="NGC1" s="84"/>
      <c r="NGD1" s="84"/>
      <c r="NGE1" s="84"/>
      <c r="NGF1" s="84"/>
      <c r="NGG1" s="84"/>
      <c r="NGH1" s="84"/>
      <c r="NGI1" s="84"/>
      <c r="NGJ1" s="84"/>
      <c r="NGK1" s="84"/>
      <c r="NGL1" s="84"/>
      <c r="NGM1" s="84"/>
      <c r="NGN1" s="84"/>
      <c r="NGO1" s="84"/>
      <c r="NGP1" s="84"/>
      <c r="NGQ1" s="84"/>
      <c r="NGR1" s="84"/>
      <c r="NGS1" s="84"/>
      <c r="NGT1" s="84"/>
      <c r="NGU1" s="84"/>
      <c r="NGV1" s="84"/>
      <c r="NGW1" s="84"/>
      <c r="NGX1" s="84"/>
      <c r="NGY1" s="84"/>
      <c r="NGZ1" s="84"/>
      <c r="NHA1" s="84"/>
      <c r="NHB1" s="84"/>
      <c r="NHC1" s="84"/>
      <c r="NHD1" s="84"/>
      <c r="NHE1" s="84"/>
      <c r="NHF1" s="84"/>
      <c r="NHG1" s="84"/>
      <c r="NHH1" s="84"/>
      <c r="NHI1" s="84"/>
      <c r="NHJ1" s="84"/>
      <c r="NHK1" s="84"/>
      <c r="NHL1" s="84"/>
      <c r="NHM1" s="84"/>
      <c r="NHN1" s="84"/>
      <c r="NHO1" s="84"/>
      <c r="NHP1" s="84"/>
      <c r="NHQ1" s="84"/>
      <c r="NHR1" s="84"/>
      <c r="NHS1" s="84"/>
      <c r="NHT1" s="84"/>
      <c r="NHU1" s="84"/>
      <c r="NHV1" s="84"/>
      <c r="NHW1" s="84"/>
      <c r="NHX1" s="84"/>
      <c r="NHY1" s="84"/>
      <c r="NHZ1" s="84"/>
      <c r="NIA1" s="84"/>
      <c r="NIB1" s="84"/>
      <c r="NIC1" s="84"/>
      <c r="NID1" s="84"/>
      <c r="NIE1" s="84"/>
      <c r="NIF1" s="84"/>
      <c r="NIG1" s="84"/>
      <c r="NIH1" s="84"/>
      <c r="NII1" s="84"/>
      <c r="NIJ1" s="84"/>
      <c r="NIK1" s="84"/>
      <c r="NIL1" s="84"/>
      <c r="NIM1" s="84"/>
      <c r="NIN1" s="84"/>
      <c r="NIO1" s="84"/>
      <c r="NIP1" s="84"/>
      <c r="NIQ1" s="84"/>
      <c r="NIR1" s="84"/>
      <c r="NIS1" s="84"/>
      <c r="NIT1" s="84"/>
      <c r="NIU1" s="84"/>
      <c r="NIV1" s="84"/>
      <c r="NIW1" s="84"/>
      <c r="NIX1" s="84"/>
      <c r="NIY1" s="84"/>
      <c r="NIZ1" s="84"/>
      <c r="NJA1" s="84"/>
      <c r="NJB1" s="84"/>
      <c r="NJC1" s="84"/>
      <c r="NJD1" s="84"/>
      <c r="NJE1" s="84"/>
      <c r="NJF1" s="84"/>
      <c r="NJG1" s="84"/>
      <c r="NJH1" s="84"/>
      <c r="NJI1" s="84"/>
      <c r="NJJ1" s="84"/>
      <c r="NJK1" s="84"/>
      <c r="NJL1" s="84"/>
      <c r="NJM1" s="84"/>
      <c r="NJN1" s="84"/>
      <c r="NJO1" s="84"/>
      <c r="NJP1" s="84"/>
      <c r="NJQ1" s="84"/>
      <c r="NJR1" s="84"/>
      <c r="NJS1" s="84"/>
      <c r="NJT1" s="84"/>
      <c r="NJU1" s="84"/>
      <c r="NJV1" s="84"/>
      <c r="NJW1" s="84"/>
      <c r="NJX1" s="84"/>
      <c r="NJY1" s="84"/>
      <c r="NJZ1" s="84"/>
      <c r="NKA1" s="84"/>
      <c r="NKB1" s="84"/>
      <c r="NKC1" s="84"/>
      <c r="NKD1" s="84"/>
      <c r="NKE1" s="84"/>
      <c r="NKF1" s="84"/>
      <c r="NKG1" s="84"/>
      <c r="NKH1" s="84"/>
      <c r="NKI1" s="84"/>
      <c r="NKJ1" s="84"/>
      <c r="NKK1" s="84"/>
      <c r="NKL1" s="84"/>
      <c r="NKM1" s="84"/>
      <c r="NKN1" s="84"/>
      <c r="NKO1" s="84"/>
      <c r="NKP1" s="84"/>
      <c r="NKQ1" s="84"/>
      <c r="NKR1" s="84"/>
      <c r="NKS1" s="84"/>
      <c r="NKT1" s="84"/>
      <c r="NKU1" s="84"/>
      <c r="NKV1" s="84"/>
      <c r="NKW1" s="84"/>
      <c r="NKX1" s="84"/>
      <c r="NKY1" s="84"/>
      <c r="NKZ1" s="84"/>
      <c r="NLA1" s="84"/>
      <c r="NLB1" s="84"/>
      <c r="NLC1" s="84"/>
      <c r="NLD1" s="84"/>
      <c r="NLE1" s="84"/>
      <c r="NLF1" s="84"/>
      <c r="NLG1" s="84"/>
      <c r="NLH1" s="84"/>
      <c r="NLI1" s="84"/>
      <c r="NLJ1" s="84"/>
      <c r="NLK1" s="84"/>
      <c r="NLL1" s="84"/>
      <c r="NLM1" s="84"/>
      <c r="NLN1" s="84"/>
      <c r="NLO1" s="84"/>
      <c r="NLP1" s="84"/>
      <c r="NLQ1" s="84"/>
      <c r="NLR1" s="84"/>
      <c r="NLS1" s="84"/>
      <c r="NLT1" s="84"/>
      <c r="NLU1" s="84"/>
      <c r="NLV1" s="84"/>
      <c r="NLW1" s="84"/>
      <c r="NLX1" s="84"/>
      <c r="NLY1" s="84"/>
      <c r="NLZ1" s="84"/>
      <c r="NMA1" s="84"/>
      <c r="NMB1" s="84"/>
      <c r="NMC1" s="84"/>
      <c r="NMD1" s="84"/>
      <c r="NME1" s="84"/>
      <c r="NMF1" s="84"/>
      <c r="NMG1" s="84"/>
      <c r="NMH1" s="84"/>
      <c r="NMI1" s="84"/>
      <c r="NMJ1" s="84"/>
      <c r="NMK1" s="84"/>
      <c r="NML1" s="84"/>
      <c r="NMM1" s="84"/>
      <c r="NMN1" s="84"/>
      <c r="NMO1" s="84"/>
      <c r="NMP1" s="84"/>
      <c r="NMQ1" s="84"/>
      <c r="NMR1" s="84"/>
      <c r="NMS1" s="84"/>
      <c r="NMT1" s="84"/>
      <c r="NMU1" s="84"/>
      <c r="NMV1" s="84"/>
      <c r="NMW1" s="84"/>
      <c r="NMX1" s="84"/>
      <c r="NMY1" s="84"/>
      <c r="NMZ1" s="84"/>
      <c r="NNA1" s="84"/>
      <c r="NNB1" s="84"/>
      <c r="NNC1" s="84"/>
      <c r="NND1" s="84"/>
      <c r="NNE1" s="84"/>
      <c r="NNF1" s="84"/>
      <c r="NNG1" s="84"/>
      <c r="NNH1" s="84"/>
      <c r="NNI1" s="84"/>
      <c r="NNJ1" s="84"/>
      <c r="NNK1" s="84"/>
      <c r="NNL1" s="84"/>
      <c r="NNM1" s="84"/>
      <c r="NNN1" s="84"/>
      <c r="NNO1" s="84"/>
      <c r="NNP1" s="84"/>
      <c r="NNQ1" s="84"/>
      <c r="NNR1" s="84"/>
      <c r="NNS1" s="84"/>
      <c r="NNT1" s="84"/>
      <c r="NNU1" s="84"/>
      <c r="NNV1" s="84"/>
      <c r="NNW1" s="84"/>
      <c r="NNX1" s="84"/>
      <c r="NNY1" s="84"/>
      <c r="NNZ1" s="84"/>
      <c r="NOA1" s="84"/>
      <c r="NOB1" s="84"/>
      <c r="NOC1" s="84"/>
      <c r="NOD1" s="84"/>
      <c r="NOE1" s="84"/>
      <c r="NOF1" s="84"/>
      <c r="NOG1" s="84"/>
      <c r="NOH1" s="84"/>
      <c r="NOI1" s="84"/>
      <c r="NOJ1" s="84"/>
      <c r="NOK1" s="84"/>
      <c r="NOL1" s="84"/>
      <c r="NOM1" s="84"/>
      <c r="NON1" s="84"/>
      <c r="NOO1" s="84"/>
      <c r="NOP1" s="84"/>
      <c r="NOQ1" s="84"/>
      <c r="NOR1" s="84"/>
      <c r="NOS1" s="84"/>
      <c r="NOT1" s="84"/>
      <c r="NOU1" s="84"/>
      <c r="NOV1" s="84"/>
      <c r="NOW1" s="84"/>
      <c r="NOX1" s="84"/>
      <c r="NOY1" s="84"/>
      <c r="NOZ1" s="84"/>
      <c r="NPA1" s="84"/>
      <c r="NPB1" s="84"/>
      <c r="NPC1" s="84"/>
      <c r="NPD1" s="84"/>
      <c r="NPE1" s="84"/>
      <c r="NPF1" s="84"/>
      <c r="NPG1" s="84"/>
      <c r="NPH1" s="84"/>
      <c r="NPI1" s="84"/>
      <c r="NPJ1" s="84"/>
      <c r="NPK1" s="84"/>
      <c r="NPL1" s="84"/>
      <c r="NPM1" s="84"/>
      <c r="NPN1" s="84"/>
      <c r="NPO1" s="84"/>
      <c r="NPP1" s="84"/>
      <c r="NPQ1" s="84"/>
      <c r="NPR1" s="84"/>
      <c r="NPS1" s="84"/>
      <c r="NPT1" s="84"/>
      <c r="NPU1" s="84"/>
      <c r="NPV1" s="84"/>
      <c r="NPW1" s="84"/>
      <c r="NPX1" s="84"/>
      <c r="NPY1" s="84"/>
      <c r="NPZ1" s="84"/>
      <c r="NQA1" s="84"/>
      <c r="NQB1" s="84"/>
      <c r="NQC1" s="84"/>
      <c r="NQD1" s="84"/>
      <c r="NQE1" s="84"/>
      <c r="NQF1" s="84"/>
      <c r="NQG1" s="84"/>
      <c r="NQH1" s="84"/>
      <c r="NQI1" s="84"/>
      <c r="NQJ1" s="84"/>
      <c r="NQK1" s="84"/>
      <c r="NQL1" s="84"/>
      <c r="NQM1" s="84"/>
      <c r="NQN1" s="84"/>
      <c r="NQO1" s="84"/>
      <c r="NQP1" s="84"/>
      <c r="NQQ1" s="84"/>
      <c r="NQR1" s="84"/>
      <c r="NQS1" s="84"/>
      <c r="NQT1" s="84"/>
      <c r="NQU1" s="84"/>
      <c r="NQV1" s="84"/>
      <c r="NQW1" s="84"/>
      <c r="NQX1" s="84"/>
      <c r="NQY1" s="84"/>
      <c r="NQZ1" s="84"/>
      <c r="NRA1" s="84"/>
      <c r="NRB1" s="84"/>
      <c r="NRC1" s="84"/>
      <c r="NRD1" s="84"/>
      <c r="NRE1" s="84"/>
      <c r="NRF1" s="84"/>
      <c r="NRG1" s="84"/>
      <c r="NRH1" s="84"/>
      <c r="NRI1" s="84"/>
      <c r="NRJ1" s="84"/>
      <c r="NRK1" s="84"/>
      <c r="NRL1" s="84"/>
      <c r="NRM1" s="84"/>
      <c r="NRN1" s="84"/>
      <c r="NRO1" s="84"/>
      <c r="NRP1" s="84"/>
      <c r="NRQ1" s="84"/>
      <c r="NRR1" s="84"/>
      <c r="NRS1" s="84"/>
      <c r="NRT1" s="84"/>
      <c r="NRU1" s="84"/>
      <c r="NRV1" s="84"/>
      <c r="NRW1" s="84"/>
      <c r="NRX1" s="84"/>
      <c r="NRY1" s="84"/>
      <c r="NRZ1" s="84"/>
      <c r="NSA1" s="84"/>
      <c r="NSB1" s="84"/>
      <c r="NSC1" s="84"/>
      <c r="NSD1" s="84"/>
      <c r="NSE1" s="84"/>
      <c r="NSF1" s="84"/>
      <c r="NSG1" s="84"/>
      <c r="NSH1" s="84"/>
      <c r="NSI1" s="84"/>
      <c r="NSJ1" s="84"/>
      <c r="NSK1" s="84"/>
      <c r="NSL1" s="84"/>
      <c r="NSM1" s="84"/>
      <c r="NSN1" s="84"/>
      <c r="NSO1" s="84"/>
      <c r="NSP1" s="84"/>
      <c r="NSQ1" s="84"/>
      <c r="NSR1" s="84"/>
      <c r="NSS1" s="84"/>
      <c r="NST1" s="84"/>
      <c r="NSU1" s="84"/>
      <c r="NSV1" s="84"/>
      <c r="NSW1" s="84"/>
      <c r="NSX1" s="84"/>
      <c r="NSY1" s="84"/>
      <c r="NSZ1" s="84"/>
      <c r="NTA1" s="84"/>
      <c r="NTB1" s="84"/>
      <c r="NTC1" s="84"/>
      <c r="NTD1" s="84"/>
      <c r="NTE1" s="84"/>
      <c r="NTF1" s="84"/>
      <c r="NTG1" s="84"/>
      <c r="NTH1" s="84"/>
      <c r="NTI1" s="84"/>
      <c r="NTJ1" s="84"/>
      <c r="NTK1" s="84"/>
      <c r="NTL1" s="84"/>
      <c r="NTM1" s="84"/>
      <c r="NTN1" s="84"/>
      <c r="NTO1" s="84"/>
      <c r="NTP1" s="84"/>
      <c r="NTQ1" s="84"/>
      <c r="NTR1" s="84"/>
      <c r="NTS1" s="84"/>
      <c r="NTT1" s="84"/>
      <c r="NTU1" s="84"/>
      <c r="NTV1" s="84"/>
      <c r="NTW1" s="84"/>
      <c r="NTX1" s="84"/>
      <c r="NTY1" s="84"/>
      <c r="NTZ1" s="84"/>
      <c r="NUA1" s="84"/>
      <c r="NUB1" s="84"/>
      <c r="NUC1" s="84"/>
      <c r="NUD1" s="84"/>
      <c r="NUE1" s="84"/>
      <c r="NUF1" s="84"/>
      <c r="NUG1" s="84"/>
      <c r="NUH1" s="84"/>
      <c r="NUI1" s="84"/>
      <c r="NUJ1" s="84"/>
      <c r="NUK1" s="84"/>
      <c r="NUL1" s="84"/>
      <c r="NUM1" s="84"/>
      <c r="NUN1" s="84"/>
      <c r="NUO1" s="84"/>
      <c r="NUP1" s="84"/>
      <c r="NUQ1" s="84"/>
      <c r="NUR1" s="84"/>
      <c r="NUS1" s="84"/>
      <c r="NUT1" s="84"/>
      <c r="NUU1" s="84"/>
      <c r="NUV1" s="84"/>
      <c r="NUW1" s="84"/>
      <c r="NUX1" s="84"/>
      <c r="NUY1" s="84"/>
      <c r="NUZ1" s="84"/>
      <c r="NVA1" s="84"/>
      <c r="NVB1" s="84"/>
      <c r="NVC1" s="84"/>
      <c r="NVD1" s="84"/>
      <c r="NVE1" s="84"/>
      <c r="NVF1" s="84"/>
      <c r="NVG1" s="84"/>
      <c r="NVH1" s="84"/>
      <c r="NVI1" s="84"/>
      <c r="NVJ1" s="84"/>
      <c r="NVK1" s="84"/>
      <c r="NVL1" s="84"/>
      <c r="NVM1" s="84"/>
      <c r="NVN1" s="84"/>
      <c r="NVO1" s="84"/>
      <c r="NVP1" s="84"/>
      <c r="NVQ1" s="84"/>
      <c r="NVR1" s="84"/>
      <c r="NVS1" s="84"/>
      <c r="NVT1" s="84"/>
      <c r="NVU1" s="84"/>
      <c r="NVV1" s="84"/>
      <c r="NVW1" s="84"/>
      <c r="NVX1" s="84"/>
      <c r="NVY1" s="84"/>
      <c r="NVZ1" s="84"/>
      <c r="NWA1" s="84"/>
      <c r="NWB1" s="84"/>
      <c r="NWC1" s="84"/>
      <c r="NWD1" s="84"/>
      <c r="NWE1" s="84"/>
      <c r="NWF1" s="84"/>
      <c r="NWG1" s="84"/>
      <c r="NWH1" s="84"/>
      <c r="NWI1" s="84"/>
      <c r="NWJ1" s="84"/>
      <c r="NWK1" s="84"/>
      <c r="NWL1" s="84"/>
      <c r="NWM1" s="84"/>
      <c r="NWN1" s="84"/>
      <c r="NWO1" s="84"/>
      <c r="NWP1" s="84"/>
      <c r="NWQ1" s="84"/>
      <c r="NWR1" s="84"/>
      <c r="NWS1" s="84"/>
      <c r="NWT1" s="84"/>
      <c r="NWU1" s="84"/>
      <c r="NWV1" s="84"/>
      <c r="NWW1" s="84"/>
      <c r="NWX1" s="84"/>
      <c r="NWY1" s="84"/>
      <c r="NWZ1" s="84"/>
      <c r="NXA1" s="84"/>
      <c r="NXB1" s="84"/>
      <c r="NXC1" s="84"/>
      <c r="NXD1" s="84"/>
      <c r="NXE1" s="84"/>
      <c r="NXF1" s="84"/>
      <c r="NXG1" s="84"/>
      <c r="NXH1" s="84"/>
      <c r="NXI1" s="84"/>
      <c r="NXJ1" s="84"/>
      <c r="NXK1" s="84"/>
      <c r="NXL1" s="84"/>
      <c r="NXM1" s="84"/>
      <c r="NXN1" s="84"/>
      <c r="NXO1" s="84"/>
      <c r="NXP1" s="84"/>
      <c r="NXQ1" s="84"/>
      <c r="NXR1" s="84"/>
      <c r="NXS1" s="84"/>
      <c r="NXT1" s="84"/>
      <c r="NXU1" s="84"/>
      <c r="NXV1" s="84"/>
      <c r="NXW1" s="84"/>
      <c r="NXX1" s="84"/>
      <c r="NXY1" s="84"/>
      <c r="NXZ1" s="84"/>
      <c r="NYA1" s="84"/>
      <c r="NYB1" s="84"/>
      <c r="NYC1" s="84"/>
      <c r="NYD1" s="84"/>
      <c r="NYE1" s="84"/>
      <c r="NYF1" s="84"/>
      <c r="NYG1" s="84"/>
      <c r="NYH1" s="84"/>
      <c r="NYI1" s="84"/>
      <c r="NYJ1" s="84"/>
      <c r="NYK1" s="84"/>
      <c r="NYL1" s="84"/>
      <c r="NYM1" s="84"/>
      <c r="NYN1" s="84"/>
      <c r="NYO1" s="84"/>
      <c r="NYP1" s="84"/>
      <c r="NYQ1" s="84"/>
      <c r="NYR1" s="84"/>
      <c r="NYS1" s="84"/>
      <c r="NYT1" s="84"/>
      <c r="NYU1" s="84"/>
      <c r="NYV1" s="84"/>
      <c r="NYW1" s="84"/>
      <c r="NYX1" s="84"/>
      <c r="NYY1" s="84"/>
      <c r="NYZ1" s="84"/>
      <c r="NZA1" s="84"/>
      <c r="NZB1" s="84"/>
      <c r="NZC1" s="84"/>
      <c r="NZD1" s="84"/>
      <c r="NZE1" s="84"/>
      <c r="NZF1" s="84"/>
      <c r="NZG1" s="84"/>
      <c r="NZH1" s="84"/>
      <c r="NZI1" s="84"/>
      <c r="NZJ1" s="84"/>
      <c r="NZK1" s="84"/>
      <c r="NZL1" s="84"/>
      <c r="NZM1" s="84"/>
      <c r="NZN1" s="84"/>
      <c r="NZO1" s="84"/>
      <c r="NZP1" s="84"/>
      <c r="NZQ1" s="84"/>
      <c r="NZR1" s="84"/>
      <c r="NZS1" s="84"/>
      <c r="NZT1" s="84"/>
      <c r="NZU1" s="84"/>
      <c r="NZV1" s="84"/>
      <c r="NZW1" s="84"/>
      <c r="NZX1" s="84"/>
      <c r="NZY1" s="84"/>
      <c r="NZZ1" s="84"/>
      <c r="OAA1" s="84"/>
      <c r="OAB1" s="84"/>
      <c r="OAC1" s="84"/>
      <c r="OAD1" s="84"/>
      <c r="OAE1" s="84"/>
      <c r="OAF1" s="84"/>
      <c r="OAG1" s="84"/>
      <c r="OAH1" s="84"/>
      <c r="OAI1" s="84"/>
      <c r="OAJ1" s="84"/>
      <c r="OAK1" s="84"/>
      <c r="OAL1" s="84"/>
      <c r="OAM1" s="84"/>
      <c r="OAN1" s="84"/>
      <c r="OAO1" s="84"/>
      <c r="OAP1" s="84"/>
      <c r="OAQ1" s="84"/>
      <c r="OAR1" s="84"/>
      <c r="OAS1" s="84"/>
      <c r="OAT1" s="84"/>
      <c r="OAU1" s="84"/>
      <c r="OAV1" s="84"/>
      <c r="OAW1" s="84"/>
      <c r="OAX1" s="84"/>
      <c r="OAY1" s="84"/>
      <c r="OAZ1" s="84"/>
      <c r="OBA1" s="84"/>
      <c r="OBB1" s="84"/>
      <c r="OBC1" s="84"/>
      <c r="OBD1" s="84"/>
      <c r="OBE1" s="84"/>
      <c r="OBF1" s="84"/>
      <c r="OBG1" s="84"/>
      <c r="OBH1" s="84"/>
      <c r="OBI1" s="84"/>
      <c r="OBJ1" s="84"/>
      <c r="OBK1" s="84"/>
      <c r="OBL1" s="84"/>
      <c r="OBM1" s="84"/>
      <c r="OBN1" s="84"/>
      <c r="OBO1" s="84"/>
      <c r="OBP1" s="84"/>
      <c r="OBQ1" s="84"/>
      <c r="OBR1" s="84"/>
      <c r="OBS1" s="84"/>
      <c r="OBT1" s="84"/>
      <c r="OBU1" s="84"/>
      <c r="OBV1" s="84"/>
      <c r="OBW1" s="84"/>
      <c r="OBX1" s="84"/>
      <c r="OBY1" s="84"/>
      <c r="OBZ1" s="84"/>
      <c r="OCA1" s="84"/>
      <c r="OCB1" s="84"/>
      <c r="OCC1" s="84"/>
      <c r="OCD1" s="84"/>
      <c r="OCE1" s="84"/>
      <c r="OCF1" s="84"/>
      <c r="OCG1" s="84"/>
      <c r="OCH1" s="84"/>
      <c r="OCI1" s="84"/>
      <c r="OCJ1" s="84"/>
      <c r="OCK1" s="84"/>
      <c r="OCL1" s="84"/>
      <c r="OCM1" s="84"/>
      <c r="OCN1" s="84"/>
      <c r="OCO1" s="84"/>
      <c r="OCP1" s="84"/>
      <c r="OCQ1" s="84"/>
      <c r="OCR1" s="84"/>
      <c r="OCS1" s="84"/>
      <c r="OCT1" s="84"/>
      <c r="OCU1" s="84"/>
      <c r="OCV1" s="84"/>
      <c r="OCW1" s="84"/>
      <c r="OCX1" s="84"/>
      <c r="OCY1" s="84"/>
      <c r="OCZ1" s="84"/>
      <c r="ODA1" s="84"/>
      <c r="ODB1" s="84"/>
      <c r="ODC1" s="84"/>
      <c r="ODD1" s="84"/>
      <c r="ODE1" s="84"/>
      <c r="ODF1" s="84"/>
      <c r="ODG1" s="84"/>
      <c r="ODH1" s="84"/>
      <c r="ODI1" s="84"/>
      <c r="ODJ1" s="84"/>
      <c r="ODK1" s="84"/>
      <c r="ODL1" s="84"/>
      <c r="ODM1" s="84"/>
      <c r="ODN1" s="84"/>
      <c r="ODO1" s="84"/>
      <c r="ODP1" s="84"/>
      <c r="ODQ1" s="84"/>
      <c r="ODR1" s="84"/>
      <c r="ODS1" s="84"/>
      <c r="ODT1" s="84"/>
      <c r="ODU1" s="84"/>
      <c r="ODV1" s="84"/>
      <c r="ODW1" s="84"/>
      <c r="ODX1" s="84"/>
      <c r="ODY1" s="84"/>
      <c r="ODZ1" s="84"/>
      <c r="OEA1" s="84"/>
      <c r="OEB1" s="84"/>
      <c r="OEC1" s="84"/>
      <c r="OED1" s="84"/>
      <c r="OEE1" s="84"/>
      <c r="OEF1" s="84"/>
      <c r="OEG1" s="84"/>
      <c r="OEH1" s="84"/>
      <c r="OEI1" s="84"/>
      <c r="OEJ1" s="84"/>
      <c r="OEK1" s="84"/>
      <c r="OEL1" s="84"/>
      <c r="OEM1" s="84"/>
      <c r="OEN1" s="84"/>
      <c r="OEO1" s="84"/>
      <c r="OEP1" s="84"/>
      <c r="OEQ1" s="84"/>
      <c r="OER1" s="84"/>
      <c r="OES1" s="84"/>
      <c r="OET1" s="84"/>
      <c r="OEU1" s="84"/>
      <c r="OEV1" s="84"/>
      <c r="OEW1" s="84"/>
      <c r="OEX1" s="84"/>
      <c r="OEY1" s="84"/>
      <c r="OEZ1" s="84"/>
      <c r="OFA1" s="84"/>
      <c r="OFB1" s="84"/>
      <c r="OFC1" s="84"/>
      <c r="OFD1" s="84"/>
      <c r="OFE1" s="84"/>
      <c r="OFF1" s="84"/>
      <c r="OFG1" s="84"/>
      <c r="OFH1" s="84"/>
      <c r="OFI1" s="84"/>
      <c r="OFJ1" s="84"/>
      <c r="OFK1" s="84"/>
      <c r="OFL1" s="84"/>
      <c r="OFM1" s="84"/>
      <c r="OFN1" s="84"/>
      <c r="OFO1" s="84"/>
      <c r="OFP1" s="84"/>
      <c r="OFQ1" s="84"/>
      <c r="OFR1" s="84"/>
      <c r="OFS1" s="84"/>
      <c r="OFT1" s="84"/>
      <c r="OFU1" s="84"/>
      <c r="OFV1" s="84"/>
      <c r="OFW1" s="84"/>
      <c r="OFX1" s="84"/>
      <c r="OFY1" s="84"/>
      <c r="OFZ1" s="84"/>
      <c r="OGA1" s="84"/>
      <c r="OGB1" s="84"/>
      <c r="OGC1" s="84"/>
      <c r="OGD1" s="84"/>
      <c r="OGE1" s="84"/>
      <c r="OGF1" s="84"/>
      <c r="OGG1" s="84"/>
      <c r="OGH1" s="84"/>
      <c r="OGI1" s="84"/>
      <c r="OGJ1" s="84"/>
      <c r="OGK1" s="84"/>
      <c r="OGL1" s="84"/>
      <c r="OGM1" s="84"/>
      <c r="OGN1" s="84"/>
      <c r="OGO1" s="84"/>
      <c r="OGP1" s="84"/>
      <c r="OGQ1" s="84"/>
      <c r="OGR1" s="84"/>
      <c r="OGS1" s="84"/>
      <c r="OGT1" s="84"/>
      <c r="OGU1" s="84"/>
      <c r="OGV1" s="84"/>
      <c r="OGW1" s="84"/>
      <c r="OGX1" s="84"/>
      <c r="OGY1" s="84"/>
      <c r="OGZ1" s="84"/>
      <c r="OHA1" s="84"/>
      <c r="OHB1" s="84"/>
      <c r="OHC1" s="84"/>
      <c r="OHD1" s="84"/>
      <c r="OHE1" s="84"/>
      <c r="OHF1" s="84"/>
      <c r="OHG1" s="84"/>
      <c r="OHH1" s="84"/>
      <c r="OHI1" s="84"/>
      <c r="OHJ1" s="84"/>
      <c r="OHK1" s="84"/>
      <c r="OHL1" s="84"/>
      <c r="OHM1" s="84"/>
      <c r="OHN1" s="84"/>
      <c r="OHO1" s="84"/>
      <c r="OHP1" s="84"/>
      <c r="OHQ1" s="84"/>
      <c r="OHR1" s="84"/>
      <c r="OHS1" s="84"/>
      <c r="OHT1" s="84"/>
      <c r="OHU1" s="84"/>
      <c r="OHV1" s="84"/>
      <c r="OHW1" s="84"/>
      <c r="OHX1" s="84"/>
      <c r="OHY1" s="84"/>
      <c r="OHZ1" s="84"/>
      <c r="OIA1" s="84"/>
      <c r="OIB1" s="84"/>
      <c r="OIC1" s="84"/>
      <c r="OID1" s="84"/>
      <c r="OIE1" s="84"/>
      <c r="OIF1" s="84"/>
      <c r="OIG1" s="84"/>
      <c r="OIH1" s="84"/>
      <c r="OII1" s="84"/>
      <c r="OIJ1" s="84"/>
      <c r="OIK1" s="84"/>
      <c r="OIL1" s="84"/>
      <c r="OIM1" s="84"/>
      <c r="OIN1" s="84"/>
      <c r="OIO1" s="84"/>
      <c r="OIP1" s="84"/>
      <c r="OIQ1" s="84"/>
      <c r="OIR1" s="84"/>
      <c r="OIS1" s="84"/>
      <c r="OIT1" s="84"/>
      <c r="OIU1" s="84"/>
      <c r="OIV1" s="84"/>
      <c r="OIW1" s="84"/>
      <c r="OIX1" s="84"/>
      <c r="OIY1" s="84"/>
      <c r="OIZ1" s="84"/>
      <c r="OJA1" s="84"/>
      <c r="OJB1" s="84"/>
      <c r="OJC1" s="84"/>
      <c r="OJD1" s="84"/>
      <c r="OJE1" s="84"/>
      <c r="OJF1" s="84"/>
      <c r="OJG1" s="84"/>
      <c r="OJH1" s="84"/>
      <c r="OJI1" s="84"/>
      <c r="OJJ1" s="84"/>
      <c r="OJK1" s="84"/>
      <c r="OJL1" s="84"/>
      <c r="OJM1" s="84"/>
      <c r="OJN1" s="84"/>
      <c r="OJO1" s="84"/>
      <c r="OJP1" s="84"/>
      <c r="OJQ1" s="84"/>
      <c r="OJR1" s="84"/>
      <c r="OJS1" s="84"/>
      <c r="OJT1" s="84"/>
      <c r="OJU1" s="84"/>
      <c r="OJV1" s="84"/>
      <c r="OJW1" s="84"/>
      <c r="OJX1" s="84"/>
      <c r="OJY1" s="84"/>
      <c r="OJZ1" s="84"/>
      <c r="OKA1" s="84"/>
      <c r="OKB1" s="84"/>
      <c r="OKC1" s="84"/>
      <c r="OKD1" s="84"/>
      <c r="OKE1" s="84"/>
      <c r="OKF1" s="84"/>
      <c r="OKG1" s="84"/>
      <c r="OKH1" s="84"/>
      <c r="OKI1" s="84"/>
      <c r="OKJ1" s="84"/>
      <c r="OKK1" s="84"/>
      <c r="OKL1" s="84"/>
      <c r="OKM1" s="84"/>
      <c r="OKN1" s="84"/>
      <c r="OKO1" s="84"/>
      <c r="OKP1" s="84"/>
      <c r="OKQ1" s="84"/>
      <c r="OKR1" s="84"/>
      <c r="OKS1" s="84"/>
      <c r="OKT1" s="84"/>
      <c r="OKU1" s="84"/>
      <c r="OKV1" s="84"/>
      <c r="OKW1" s="84"/>
      <c r="OKX1" s="84"/>
      <c r="OKY1" s="84"/>
      <c r="OKZ1" s="84"/>
      <c r="OLA1" s="84"/>
      <c r="OLB1" s="84"/>
      <c r="OLC1" s="84"/>
      <c r="OLD1" s="84"/>
      <c r="OLE1" s="84"/>
      <c r="OLF1" s="84"/>
      <c r="OLG1" s="84"/>
      <c r="OLH1" s="84"/>
      <c r="OLI1" s="84"/>
      <c r="OLJ1" s="84"/>
      <c r="OLK1" s="84"/>
      <c r="OLL1" s="84"/>
      <c r="OLM1" s="84"/>
      <c r="OLN1" s="84"/>
      <c r="OLO1" s="84"/>
      <c r="OLP1" s="84"/>
      <c r="OLQ1" s="84"/>
      <c r="OLR1" s="84"/>
      <c r="OLS1" s="84"/>
      <c r="OLT1" s="84"/>
      <c r="OLU1" s="84"/>
      <c r="OLV1" s="84"/>
      <c r="OLW1" s="84"/>
      <c r="OLX1" s="84"/>
      <c r="OLY1" s="84"/>
      <c r="OLZ1" s="84"/>
      <c r="OMA1" s="84"/>
      <c r="OMB1" s="84"/>
      <c r="OMC1" s="84"/>
      <c r="OMD1" s="84"/>
      <c r="OME1" s="84"/>
      <c r="OMF1" s="84"/>
      <c r="OMG1" s="84"/>
      <c r="OMH1" s="84"/>
      <c r="OMI1" s="84"/>
      <c r="OMJ1" s="84"/>
      <c r="OMK1" s="84"/>
      <c r="OML1" s="84"/>
      <c r="OMM1" s="84"/>
      <c r="OMN1" s="84"/>
      <c r="OMO1" s="84"/>
      <c r="OMP1" s="84"/>
      <c r="OMQ1" s="84"/>
      <c r="OMR1" s="84"/>
      <c r="OMS1" s="84"/>
      <c r="OMT1" s="84"/>
      <c r="OMU1" s="84"/>
      <c r="OMV1" s="84"/>
      <c r="OMW1" s="84"/>
      <c r="OMX1" s="84"/>
      <c r="OMY1" s="84"/>
      <c r="OMZ1" s="84"/>
      <c r="ONA1" s="84"/>
      <c r="ONB1" s="84"/>
      <c r="ONC1" s="84"/>
      <c r="OND1" s="84"/>
      <c r="ONE1" s="84"/>
      <c r="ONF1" s="84"/>
      <c r="ONG1" s="84"/>
      <c r="ONH1" s="84"/>
      <c r="ONI1" s="84"/>
      <c r="ONJ1" s="84"/>
      <c r="ONK1" s="84"/>
      <c r="ONL1" s="84"/>
      <c r="ONM1" s="84"/>
      <c r="ONN1" s="84"/>
      <c r="ONO1" s="84"/>
      <c r="ONP1" s="84"/>
      <c r="ONQ1" s="84"/>
      <c r="ONR1" s="84"/>
      <c r="ONS1" s="84"/>
      <c r="ONT1" s="84"/>
      <c r="ONU1" s="84"/>
      <c r="ONV1" s="84"/>
      <c r="ONW1" s="84"/>
      <c r="ONX1" s="84"/>
      <c r="ONY1" s="84"/>
      <c r="ONZ1" s="84"/>
      <c r="OOA1" s="84"/>
      <c r="OOB1" s="84"/>
      <c r="OOC1" s="84"/>
      <c r="OOD1" s="84"/>
      <c r="OOE1" s="84"/>
      <c r="OOF1" s="84"/>
      <c r="OOG1" s="84"/>
      <c r="OOH1" s="84"/>
      <c r="OOI1" s="84"/>
      <c r="OOJ1" s="84"/>
      <c r="OOK1" s="84"/>
      <c r="OOL1" s="84"/>
      <c r="OOM1" s="84"/>
      <c r="OON1" s="84"/>
      <c r="OOO1" s="84"/>
      <c r="OOP1" s="84"/>
      <c r="OOQ1" s="84"/>
      <c r="OOR1" s="84"/>
      <c r="OOS1" s="84"/>
      <c r="OOT1" s="84"/>
      <c r="OOU1" s="84"/>
      <c r="OOV1" s="84"/>
      <c r="OOW1" s="84"/>
      <c r="OOX1" s="84"/>
      <c r="OOY1" s="84"/>
      <c r="OOZ1" s="84"/>
      <c r="OPA1" s="84"/>
      <c r="OPB1" s="84"/>
      <c r="OPC1" s="84"/>
      <c r="OPD1" s="84"/>
      <c r="OPE1" s="84"/>
      <c r="OPF1" s="84"/>
      <c r="OPG1" s="84"/>
      <c r="OPH1" s="84"/>
      <c r="OPI1" s="84"/>
      <c r="OPJ1" s="84"/>
      <c r="OPK1" s="84"/>
      <c r="OPL1" s="84"/>
      <c r="OPM1" s="84"/>
      <c r="OPN1" s="84"/>
      <c r="OPO1" s="84"/>
      <c r="OPP1" s="84"/>
      <c r="OPQ1" s="84"/>
      <c r="OPR1" s="84"/>
      <c r="OPS1" s="84"/>
      <c r="OPT1" s="84"/>
      <c r="OPU1" s="84"/>
      <c r="OPV1" s="84"/>
      <c r="OPW1" s="84"/>
      <c r="OPX1" s="84"/>
      <c r="OPY1" s="84"/>
      <c r="OPZ1" s="84"/>
      <c r="OQA1" s="84"/>
      <c r="OQB1" s="84"/>
      <c r="OQC1" s="84"/>
      <c r="OQD1" s="84"/>
      <c r="OQE1" s="84"/>
      <c r="OQF1" s="84"/>
      <c r="OQG1" s="84"/>
      <c r="OQH1" s="84"/>
      <c r="OQI1" s="84"/>
      <c r="OQJ1" s="84"/>
      <c r="OQK1" s="84"/>
      <c r="OQL1" s="84"/>
      <c r="OQM1" s="84"/>
      <c r="OQN1" s="84"/>
      <c r="OQO1" s="84"/>
      <c r="OQP1" s="84"/>
      <c r="OQQ1" s="84"/>
      <c r="OQR1" s="84"/>
      <c r="OQS1" s="84"/>
      <c r="OQT1" s="84"/>
      <c r="OQU1" s="84"/>
      <c r="OQV1" s="84"/>
      <c r="OQW1" s="84"/>
      <c r="OQX1" s="84"/>
      <c r="OQY1" s="84"/>
      <c r="OQZ1" s="84"/>
      <c r="ORA1" s="84"/>
      <c r="ORB1" s="84"/>
      <c r="ORC1" s="84"/>
      <c r="ORD1" s="84"/>
      <c r="ORE1" s="84"/>
      <c r="ORF1" s="84"/>
      <c r="ORG1" s="84"/>
      <c r="ORH1" s="84"/>
      <c r="ORI1" s="84"/>
      <c r="ORJ1" s="84"/>
      <c r="ORK1" s="84"/>
      <c r="ORL1" s="84"/>
      <c r="ORM1" s="84"/>
      <c r="ORN1" s="84"/>
      <c r="ORO1" s="84"/>
      <c r="ORP1" s="84"/>
      <c r="ORQ1" s="84"/>
      <c r="ORR1" s="84"/>
      <c r="ORS1" s="84"/>
      <c r="ORT1" s="84"/>
      <c r="ORU1" s="84"/>
      <c r="ORV1" s="84"/>
      <c r="ORW1" s="84"/>
      <c r="ORX1" s="84"/>
      <c r="ORY1" s="84"/>
      <c r="ORZ1" s="84"/>
      <c r="OSA1" s="84"/>
      <c r="OSB1" s="84"/>
      <c r="OSC1" s="84"/>
      <c r="OSD1" s="84"/>
      <c r="OSE1" s="84"/>
      <c r="OSF1" s="84"/>
      <c r="OSG1" s="84"/>
      <c r="OSH1" s="84"/>
      <c r="OSI1" s="84"/>
      <c r="OSJ1" s="84"/>
      <c r="OSK1" s="84"/>
      <c r="OSL1" s="84"/>
      <c r="OSM1" s="84"/>
      <c r="OSN1" s="84"/>
      <c r="OSO1" s="84"/>
      <c r="OSP1" s="84"/>
      <c r="OSQ1" s="84"/>
      <c r="OSR1" s="84"/>
      <c r="OSS1" s="84"/>
      <c r="OST1" s="84"/>
      <c r="OSU1" s="84"/>
      <c r="OSV1" s="84"/>
      <c r="OSW1" s="84"/>
      <c r="OSX1" s="84"/>
      <c r="OSY1" s="84"/>
      <c r="OSZ1" s="84"/>
      <c r="OTA1" s="84"/>
      <c r="OTB1" s="84"/>
      <c r="OTC1" s="84"/>
      <c r="OTD1" s="84"/>
      <c r="OTE1" s="84"/>
      <c r="OTF1" s="84"/>
      <c r="OTG1" s="84"/>
      <c r="OTH1" s="84"/>
      <c r="OTI1" s="84"/>
      <c r="OTJ1" s="84"/>
      <c r="OTK1" s="84"/>
      <c r="OTL1" s="84"/>
      <c r="OTM1" s="84"/>
      <c r="OTN1" s="84"/>
      <c r="OTO1" s="84"/>
      <c r="OTP1" s="84"/>
      <c r="OTQ1" s="84"/>
      <c r="OTR1" s="84"/>
      <c r="OTS1" s="84"/>
      <c r="OTT1" s="84"/>
      <c r="OTU1" s="84"/>
      <c r="OTV1" s="84"/>
      <c r="OTW1" s="84"/>
      <c r="OTX1" s="84"/>
      <c r="OTY1" s="84"/>
      <c r="OTZ1" s="84"/>
      <c r="OUA1" s="84"/>
      <c r="OUB1" s="84"/>
      <c r="OUC1" s="84"/>
      <c r="OUD1" s="84"/>
      <c r="OUE1" s="84"/>
      <c r="OUF1" s="84"/>
      <c r="OUG1" s="84"/>
      <c r="OUH1" s="84"/>
      <c r="OUI1" s="84"/>
      <c r="OUJ1" s="84"/>
      <c r="OUK1" s="84"/>
      <c r="OUL1" s="84"/>
      <c r="OUM1" s="84"/>
      <c r="OUN1" s="84"/>
      <c r="OUO1" s="84"/>
      <c r="OUP1" s="84"/>
      <c r="OUQ1" s="84"/>
      <c r="OUR1" s="84"/>
      <c r="OUS1" s="84"/>
      <c r="OUT1" s="84"/>
      <c r="OUU1" s="84"/>
      <c r="OUV1" s="84"/>
      <c r="OUW1" s="84"/>
      <c r="OUX1" s="84"/>
      <c r="OUY1" s="84"/>
      <c r="OUZ1" s="84"/>
      <c r="OVA1" s="84"/>
      <c r="OVB1" s="84"/>
      <c r="OVC1" s="84"/>
      <c r="OVD1" s="84"/>
      <c r="OVE1" s="84"/>
      <c r="OVF1" s="84"/>
      <c r="OVG1" s="84"/>
      <c r="OVH1" s="84"/>
      <c r="OVI1" s="84"/>
      <c r="OVJ1" s="84"/>
      <c r="OVK1" s="84"/>
      <c r="OVL1" s="84"/>
      <c r="OVM1" s="84"/>
      <c r="OVN1" s="84"/>
      <c r="OVO1" s="84"/>
      <c r="OVP1" s="84"/>
      <c r="OVQ1" s="84"/>
      <c r="OVR1" s="84"/>
      <c r="OVS1" s="84"/>
      <c r="OVT1" s="84"/>
      <c r="OVU1" s="84"/>
      <c r="OVV1" s="84"/>
      <c r="OVW1" s="84"/>
      <c r="OVX1" s="84"/>
      <c r="OVY1" s="84"/>
      <c r="OVZ1" s="84"/>
      <c r="OWA1" s="84"/>
      <c r="OWB1" s="84"/>
      <c r="OWC1" s="84"/>
      <c r="OWD1" s="84"/>
      <c r="OWE1" s="84"/>
      <c r="OWF1" s="84"/>
      <c r="OWG1" s="84"/>
      <c r="OWH1" s="84"/>
      <c r="OWI1" s="84"/>
      <c r="OWJ1" s="84"/>
      <c r="OWK1" s="84"/>
      <c r="OWL1" s="84"/>
      <c r="OWM1" s="84"/>
      <c r="OWN1" s="84"/>
      <c r="OWO1" s="84"/>
      <c r="OWP1" s="84"/>
      <c r="OWQ1" s="84"/>
      <c r="OWR1" s="84"/>
      <c r="OWS1" s="84"/>
      <c r="OWT1" s="84"/>
      <c r="OWU1" s="84"/>
      <c r="OWV1" s="84"/>
      <c r="OWW1" s="84"/>
      <c r="OWX1" s="84"/>
      <c r="OWY1" s="84"/>
      <c r="OWZ1" s="84"/>
      <c r="OXA1" s="84"/>
      <c r="OXB1" s="84"/>
      <c r="OXC1" s="84"/>
      <c r="OXD1" s="84"/>
      <c r="OXE1" s="84"/>
      <c r="OXF1" s="84"/>
      <c r="OXG1" s="84"/>
      <c r="OXH1" s="84"/>
      <c r="OXI1" s="84"/>
      <c r="OXJ1" s="84"/>
      <c r="OXK1" s="84"/>
      <c r="OXL1" s="84"/>
      <c r="OXM1" s="84"/>
      <c r="OXN1" s="84"/>
      <c r="OXO1" s="84"/>
      <c r="OXP1" s="84"/>
      <c r="OXQ1" s="84"/>
      <c r="OXR1" s="84"/>
      <c r="OXS1" s="84"/>
      <c r="OXT1" s="84"/>
      <c r="OXU1" s="84"/>
      <c r="OXV1" s="84"/>
      <c r="OXW1" s="84"/>
      <c r="OXX1" s="84"/>
      <c r="OXY1" s="84"/>
      <c r="OXZ1" s="84"/>
      <c r="OYA1" s="84"/>
      <c r="OYB1" s="84"/>
      <c r="OYC1" s="84"/>
      <c r="OYD1" s="84"/>
      <c r="OYE1" s="84"/>
      <c r="OYF1" s="84"/>
      <c r="OYG1" s="84"/>
      <c r="OYH1" s="84"/>
      <c r="OYI1" s="84"/>
      <c r="OYJ1" s="84"/>
      <c r="OYK1" s="84"/>
      <c r="OYL1" s="84"/>
      <c r="OYM1" s="84"/>
      <c r="OYN1" s="84"/>
      <c r="OYO1" s="84"/>
      <c r="OYP1" s="84"/>
      <c r="OYQ1" s="84"/>
      <c r="OYR1" s="84"/>
      <c r="OYS1" s="84"/>
      <c r="OYT1" s="84"/>
      <c r="OYU1" s="84"/>
      <c r="OYV1" s="84"/>
      <c r="OYW1" s="84"/>
      <c r="OYX1" s="84"/>
      <c r="OYY1" s="84"/>
      <c r="OYZ1" s="84"/>
      <c r="OZA1" s="84"/>
      <c r="OZB1" s="84"/>
      <c r="OZC1" s="84"/>
      <c r="OZD1" s="84"/>
      <c r="OZE1" s="84"/>
      <c r="OZF1" s="84"/>
      <c r="OZG1" s="84"/>
      <c r="OZH1" s="84"/>
      <c r="OZI1" s="84"/>
      <c r="OZJ1" s="84"/>
      <c r="OZK1" s="84"/>
      <c r="OZL1" s="84"/>
      <c r="OZM1" s="84"/>
      <c r="OZN1" s="84"/>
      <c r="OZO1" s="84"/>
      <c r="OZP1" s="84"/>
      <c r="OZQ1" s="84"/>
      <c r="OZR1" s="84"/>
      <c r="OZS1" s="84"/>
      <c r="OZT1" s="84"/>
      <c r="OZU1" s="84"/>
      <c r="OZV1" s="84"/>
      <c r="OZW1" s="84"/>
      <c r="OZX1" s="84"/>
      <c r="OZY1" s="84"/>
      <c r="OZZ1" s="84"/>
      <c r="PAA1" s="84"/>
      <c r="PAB1" s="84"/>
      <c r="PAC1" s="84"/>
      <c r="PAD1" s="84"/>
      <c r="PAE1" s="84"/>
      <c r="PAF1" s="84"/>
      <c r="PAG1" s="84"/>
      <c r="PAH1" s="84"/>
      <c r="PAI1" s="84"/>
      <c r="PAJ1" s="84"/>
      <c r="PAK1" s="84"/>
      <c r="PAL1" s="84"/>
      <c r="PAM1" s="84"/>
      <c r="PAN1" s="84"/>
      <c r="PAO1" s="84"/>
      <c r="PAP1" s="84"/>
      <c r="PAQ1" s="84"/>
      <c r="PAR1" s="84"/>
      <c r="PAS1" s="84"/>
      <c r="PAT1" s="84"/>
      <c r="PAU1" s="84"/>
      <c r="PAV1" s="84"/>
      <c r="PAW1" s="84"/>
      <c r="PAX1" s="84"/>
      <c r="PAY1" s="84"/>
      <c r="PAZ1" s="84"/>
      <c r="PBA1" s="84"/>
      <c r="PBB1" s="84"/>
      <c r="PBC1" s="84"/>
      <c r="PBD1" s="84"/>
      <c r="PBE1" s="84"/>
      <c r="PBF1" s="84"/>
      <c r="PBG1" s="84"/>
      <c r="PBH1" s="84"/>
      <c r="PBI1" s="84"/>
      <c r="PBJ1" s="84"/>
      <c r="PBK1" s="84"/>
      <c r="PBL1" s="84"/>
      <c r="PBM1" s="84"/>
      <c r="PBN1" s="84"/>
      <c r="PBO1" s="84"/>
      <c r="PBP1" s="84"/>
      <c r="PBQ1" s="84"/>
      <c r="PBR1" s="84"/>
      <c r="PBS1" s="84"/>
      <c r="PBT1" s="84"/>
      <c r="PBU1" s="84"/>
      <c r="PBV1" s="84"/>
      <c r="PBW1" s="84"/>
      <c r="PBX1" s="84"/>
      <c r="PBY1" s="84"/>
      <c r="PBZ1" s="84"/>
      <c r="PCA1" s="84"/>
      <c r="PCB1" s="84"/>
      <c r="PCC1" s="84"/>
      <c r="PCD1" s="84"/>
      <c r="PCE1" s="84"/>
      <c r="PCF1" s="84"/>
      <c r="PCG1" s="84"/>
      <c r="PCH1" s="84"/>
      <c r="PCI1" s="84"/>
      <c r="PCJ1" s="84"/>
      <c r="PCK1" s="84"/>
      <c r="PCL1" s="84"/>
      <c r="PCM1" s="84"/>
      <c r="PCN1" s="84"/>
      <c r="PCO1" s="84"/>
      <c r="PCP1" s="84"/>
      <c r="PCQ1" s="84"/>
      <c r="PCR1" s="84"/>
      <c r="PCS1" s="84"/>
      <c r="PCT1" s="84"/>
      <c r="PCU1" s="84"/>
      <c r="PCV1" s="84"/>
      <c r="PCW1" s="84"/>
      <c r="PCX1" s="84"/>
      <c r="PCY1" s="84"/>
      <c r="PCZ1" s="84"/>
      <c r="PDA1" s="84"/>
      <c r="PDB1" s="84"/>
      <c r="PDC1" s="84"/>
      <c r="PDD1" s="84"/>
      <c r="PDE1" s="84"/>
      <c r="PDF1" s="84"/>
      <c r="PDG1" s="84"/>
      <c r="PDH1" s="84"/>
      <c r="PDI1" s="84"/>
      <c r="PDJ1" s="84"/>
      <c r="PDK1" s="84"/>
      <c r="PDL1" s="84"/>
      <c r="PDM1" s="84"/>
      <c r="PDN1" s="84"/>
      <c r="PDO1" s="84"/>
      <c r="PDP1" s="84"/>
      <c r="PDQ1" s="84"/>
      <c r="PDR1" s="84"/>
      <c r="PDS1" s="84"/>
      <c r="PDT1" s="84"/>
      <c r="PDU1" s="84"/>
      <c r="PDV1" s="84"/>
      <c r="PDW1" s="84"/>
      <c r="PDX1" s="84"/>
      <c r="PDY1" s="84"/>
      <c r="PDZ1" s="84"/>
      <c r="PEA1" s="84"/>
      <c r="PEB1" s="84"/>
      <c r="PEC1" s="84"/>
      <c r="PED1" s="84"/>
      <c r="PEE1" s="84"/>
      <c r="PEF1" s="84"/>
      <c r="PEG1" s="84"/>
      <c r="PEH1" s="84"/>
      <c r="PEI1" s="84"/>
      <c r="PEJ1" s="84"/>
      <c r="PEK1" s="84"/>
      <c r="PEL1" s="84"/>
      <c r="PEM1" s="84"/>
      <c r="PEN1" s="84"/>
      <c r="PEO1" s="84"/>
      <c r="PEP1" s="84"/>
      <c r="PEQ1" s="84"/>
      <c r="PER1" s="84"/>
      <c r="PES1" s="84"/>
      <c r="PET1" s="84"/>
      <c r="PEU1" s="84"/>
      <c r="PEV1" s="84"/>
      <c r="PEW1" s="84"/>
      <c r="PEX1" s="84"/>
      <c r="PEY1" s="84"/>
      <c r="PEZ1" s="84"/>
      <c r="PFA1" s="84"/>
      <c r="PFB1" s="84"/>
      <c r="PFC1" s="84"/>
      <c r="PFD1" s="84"/>
      <c r="PFE1" s="84"/>
      <c r="PFF1" s="84"/>
      <c r="PFG1" s="84"/>
      <c r="PFH1" s="84"/>
      <c r="PFI1" s="84"/>
      <c r="PFJ1" s="84"/>
      <c r="PFK1" s="84"/>
      <c r="PFL1" s="84"/>
      <c r="PFM1" s="84"/>
      <c r="PFN1" s="84"/>
      <c r="PFO1" s="84"/>
      <c r="PFP1" s="84"/>
      <c r="PFQ1" s="84"/>
      <c r="PFR1" s="84"/>
      <c r="PFS1" s="84"/>
      <c r="PFT1" s="84"/>
      <c r="PFU1" s="84"/>
      <c r="PFV1" s="84"/>
      <c r="PFW1" s="84"/>
      <c r="PFX1" s="84"/>
      <c r="PFY1" s="84"/>
      <c r="PFZ1" s="84"/>
      <c r="PGA1" s="84"/>
      <c r="PGB1" s="84"/>
      <c r="PGC1" s="84"/>
      <c r="PGD1" s="84"/>
      <c r="PGE1" s="84"/>
      <c r="PGF1" s="84"/>
      <c r="PGG1" s="84"/>
      <c r="PGH1" s="84"/>
      <c r="PGI1" s="84"/>
      <c r="PGJ1" s="84"/>
      <c r="PGK1" s="84"/>
      <c r="PGL1" s="84"/>
      <c r="PGM1" s="84"/>
      <c r="PGN1" s="84"/>
      <c r="PGO1" s="84"/>
      <c r="PGP1" s="84"/>
      <c r="PGQ1" s="84"/>
      <c r="PGR1" s="84"/>
      <c r="PGS1" s="84"/>
      <c r="PGT1" s="84"/>
      <c r="PGU1" s="84"/>
      <c r="PGV1" s="84"/>
      <c r="PGW1" s="84"/>
      <c r="PGX1" s="84"/>
      <c r="PGY1" s="84"/>
      <c r="PGZ1" s="84"/>
      <c r="PHA1" s="84"/>
      <c r="PHB1" s="84"/>
      <c r="PHC1" s="84"/>
      <c r="PHD1" s="84"/>
      <c r="PHE1" s="84"/>
      <c r="PHF1" s="84"/>
      <c r="PHG1" s="84"/>
      <c r="PHH1" s="84"/>
      <c r="PHI1" s="84"/>
      <c r="PHJ1" s="84"/>
      <c r="PHK1" s="84"/>
      <c r="PHL1" s="84"/>
      <c r="PHM1" s="84"/>
      <c r="PHN1" s="84"/>
      <c r="PHO1" s="84"/>
      <c r="PHP1" s="84"/>
      <c r="PHQ1" s="84"/>
      <c r="PHR1" s="84"/>
      <c r="PHS1" s="84"/>
      <c r="PHT1" s="84"/>
      <c r="PHU1" s="84"/>
      <c r="PHV1" s="84"/>
      <c r="PHW1" s="84"/>
      <c r="PHX1" s="84"/>
      <c r="PHY1" s="84"/>
      <c r="PHZ1" s="84"/>
      <c r="PIA1" s="84"/>
      <c r="PIB1" s="84"/>
      <c r="PIC1" s="84"/>
      <c r="PID1" s="84"/>
      <c r="PIE1" s="84"/>
      <c r="PIF1" s="84"/>
      <c r="PIG1" s="84"/>
      <c r="PIH1" s="84"/>
      <c r="PII1" s="84"/>
      <c r="PIJ1" s="84"/>
      <c r="PIK1" s="84"/>
      <c r="PIL1" s="84"/>
      <c r="PIM1" s="84"/>
      <c r="PIN1" s="84"/>
      <c r="PIO1" s="84"/>
      <c r="PIP1" s="84"/>
      <c r="PIQ1" s="84"/>
      <c r="PIR1" s="84"/>
      <c r="PIS1" s="84"/>
      <c r="PIT1" s="84"/>
      <c r="PIU1" s="84"/>
      <c r="PIV1" s="84"/>
      <c r="PIW1" s="84"/>
      <c r="PIX1" s="84"/>
      <c r="PIY1" s="84"/>
      <c r="PIZ1" s="84"/>
      <c r="PJA1" s="84"/>
      <c r="PJB1" s="84"/>
      <c r="PJC1" s="84"/>
      <c r="PJD1" s="84"/>
      <c r="PJE1" s="84"/>
      <c r="PJF1" s="84"/>
      <c r="PJG1" s="84"/>
      <c r="PJH1" s="84"/>
      <c r="PJI1" s="84"/>
      <c r="PJJ1" s="84"/>
      <c r="PJK1" s="84"/>
      <c r="PJL1" s="84"/>
      <c r="PJM1" s="84"/>
      <c r="PJN1" s="84"/>
      <c r="PJO1" s="84"/>
      <c r="PJP1" s="84"/>
      <c r="PJQ1" s="84"/>
      <c r="PJR1" s="84"/>
      <c r="PJS1" s="84"/>
      <c r="PJT1" s="84"/>
      <c r="PJU1" s="84"/>
      <c r="PJV1" s="84"/>
      <c r="PJW1" s="84"/>
      <c r="PJX1" s="84"/>
      <c r="PJY1" s="84"/>
      <c r="PJZ1" s="84"/>
      <c r="PKA1" s="84"/>
      <c r="PKB1" s="84"/>
      <c r="PKC1" s="84"/>
      <c r="PKD1" s="84"/>
      <c r="PKE1" s="84"/>
      <c r="PKF1" s="84"/>
      <c r="PKG1" s="84"/>
      <c r="PKH1" s="84"/>
      <c r="PKI1" s="84"/>
      <c r="PKJ1" s="84"/>
      <c r="PKK1" s="84"/>
      <c r="PKL1" s="84"/>
      <c r="PKM1" s="84"/>
      <c r="PKN1" s="84"/>
      <c r="PKO1" s="84"/>
      <c r="PKP1" s="84"/>
      <c r="PKQ1" s="84"/>
      <c r="PKR1" s="84"/>
      <c r="PKS1" s="84"/>
      <c r="PKT1" s="84"/>
      <c r="PKU1" s="84"/>
      <c r="PKV1" s="84"/>
      <c r="PKW1" s="84"/>
      <c r="PKX1" s="84"/>
      <c r="PKY1" s="84"/>
      <c r="PKZ1" s="84"/>
      <c r="PLA1" s="84"/>
      <c r="PLB1" s="84"/>
      <c r="PLC1" s="84"/>
      <c r="PLD1" s="84"/>
      <c r="PLE1" s="84"/>
      <c r="PLF1" s="84"/>
      <c r="PLG1" s="84"/>
      <c r="PLH1" s="84"/>
      <c r="PLI1" s="84"/>
      <c r="PLJ1" s="84"/>
      <c r="PLK1" s="84"/>
      <c r="PLL1" s="84"/>
      <c r="PLM1" s="84"/>
      <c r="PLN1" s="84"/>
      <c r="PLO1" s="84"/>
      <c r="PLP1" s="84"/>
      <c r="PLQ1" s="84"/>
      <c r="PLR1" s="84"/>
      <c r="PLS1" s="84"/>
      <c r="PLT1" s="84"/>
      <c r="PLU1" s="84"/>
      <c r="PLV1" s="84"/>
      <c r="PLW1" s="84"/>
      <c r="PLX1" s="84"/>
      <c r="PLY1" s="84"/>
      <c r="PLZ1" s="84"/>
      <c r="PMA1" s="84"/>
      <c r="PMB1" s="84"/>
      <c r="PMC1" s="84"/>
      <c r="PMD1" s="84"/>
      <c r="PME1" s="84"/>
      <c r="PMF1" s="84"/>
      <c r="PMG1" s="84"/>
      <c r="PMH1" s="84"/>
      <c r="PMI1" s="84"/>
      <c r="PMJ1" s="84"/>
      <c r="PMK1" s="84"/>
      <c r="PML1" s="84"/>
      <c r="PMM1" s="84"/>
      <c r="PMN1" s="84"/>
      <c r="PMO1" s="84"/>
      <c r="PMP1" s="84"/>
      <c r="PMQ1" s="84"/>
      <c r="PMR1" s="84"/>
      <c r="PMS1" s="84"/>
      <c r="PMT1" s="84"/>
      <c r="PMU1" s="84"/>
      <c r="PMV1" s="84"/>
      <c r="PMW1" s="84"/>
      <c r="PMX1" s="84"/>
      <c r="PMY1" s="84"/>
      <c r="PMZ1" s="84"/>
      <c r="PNA1" s="84"/>
      <c r="PNB1" s="84"/>
      <c r="PNC1" s="84"/>
      <c r="PND1" s="84"/>
      <c r="PNE1" s="84"/>
      <c r="PNF1" s="84"/>
      <c r="PNG1" s="84"/>
      <c r="PNH1" s="84"/>
      <c r="PNI1" s="84"/>
      <c r="PNJ1" s="84"/>
      <c r="PNK1" s="84"/>
      <c r="PNL1" s="84"/>
      <c r="PNM1" s="84"/>
      <c r="PNN1" s="84"/>
      <c r="PNO1" s="84"/>
      <c r="PNP1" s="84"/>
      <c r="PNQ1" s="84"/>
      <c r="PNR1" s="84"/>
      <c r="PNS1" s="84"/>
      <c r="PNT1" s="84"/>
      <c r="PNU1" s="84"/>
      <c r="PNV1" s="84"/>
      <c r="PNW1" s="84"/>
      <c r="PNX1" s="84"/>
      <c r="PNY1" s="84"/>
      <c r="PNZ1" s="84"/>
      <c r="POA1" s="84"/>
      <c r="POB1" s="84"/>
      <c r="POC1" s="84"/>
      <c r="POD1" s="84"/>
      <c r="POE1" s="84"/>
      <c r="POF1" s="84"/>
      <c r="POG1" s="84"/>
      <c r="POH1" s="84"/>
      <c r="POI1" s="84"/>
      <c r="POJ1" s="84"/>
      <c r="POK1" s="84"/>
      <c r="POL1" s="84"/>
      <c r="POM1" s="84"/>
      <c r="PON1" s="84"/>
      <c r="POO1" s="84"/>
      <c r="POP1" s="84"/>
      <c r="POQ1" s="84"/>
      <c r="POR1" s="84"/>
      <c r="POS1" s="84"/>
      <c r="POT1" s="84"/>
      <c r="POU1" s="84"/>
      <c r="POV1" s="84"/>
      <c r="POW1" s="84"/>
      <c r="POX1" s="84"/>
      <c r="POY1" s="84"/>
      <c r="POZ1" s="84"/>
      <c r="PPA1" s="84"/>
      <c r="PPB1" s="84"/>
      <c r="PPC1" s="84"/>
      <c r="PPD1" s="84"/>
      <c r="PPE1" s="84"/>
      <c r="PPF1" s="84"/>
      <c r="PPG1" s="84"/>
      <c r="PPH1" s="84"/>
      <c r="PPI1" s="84"/>
      <c r="PPJ1" s="84"/>
      <c r="PPK1" s="84"/>
      <c r="PPL1" s="84"/>
      <c r="PPM1" s="84"/>
      <c r="PPN1" s="84"/>
      <c r="PPO1" s="84"/>
      <c r="PPP1" s="84"/>
      <c r="PPQ1" s="84"/>
      <c r="PPR1" s="84"/>
      <c r="PPS1" s="84"/>
      <c r="PPT1" s="84"/>
      <c r="PPU1" s="84"/>
      <c r="PPV1" s="84"/>
      <c r="PPW1" s="84"/>
      <c r="PPX1" s="84"/>
      <c r="PPY1" s="84"/>
      <c r="PPZ1" s="84"/>
      <c r="PQA1" s="84"/>
      <c r="PQB1" s="84"/>
      <c r="PQC1" s="84"/>
      <c r="PQD1" s="84"/>
      <c r="PQE1" s="84"/>
      <c r="PQF1" s="84"/>
      <c r="PQG1" s="84"/>
      <c r="PQH1" s="84"/>
      <c r="PQI1" s="84"/>
      <c r="PQJ1" s="84"/>
      <c r="PQK1" s="84"/>
      <c r="PQL1" s="84"/>
      <c r="PQM1" s="84"/>
      <c r="PQN1" s="84"/>
      <c r="PQO1" s="84"/>
      <c r="PQP1" s="84"/>
      <c r="PQQ1" s="84"/>
      <c r="PQR1" s="84"/>
      <c r="PQS1" s="84"/>
      <c r="PQT1" s="84"/>
      <c r="PQU1" s="84"/>
      <c r="PQV1" s="84"/>
      <c r="PQW1" s="84"/>
      <c r="PQX1" s="84"/>
      <c r="PQY1" s="84"/>
      <c r="PQZ1" s="84"/>
      <c r="PRA1" s="84"/>
      <c r="PRB1" s="84"/>
      <c r="PRC1" s="84"/>
      <c r="PRD1" s="84"/>
      <c r="PRE1" s="84"/>
      <c r="PRF1" s="84"/>
      <c r="PRG1" s="84"/>
      <c r="PRH1" s="84"/>
      <c r="PRI1" s="84"/>
      <c r="PRJ1" s="84"/>
      <c r="PRK1" s="84"/>
      <c r="PRL1" s="84"/>
      <c r="PRM1" s="84"/>
      <c r="PRN1" s="84"/>
      <c r="PRO1" s="84"/>
      <c r="PRP1" s="84"/>
      <c r="PRQ1" s="84"/>
      <c r="PRR1" s="84"/>
      <c r="PRS1" s="84"/>
      <c r="PRT1" s="84"/>
      <c r="PRU1" s="84"/>
      <c r="PRV1" s="84"/>
      <c r="PRW1" s="84"/>
      <c r="PRX1" s="84"/>
      <c r="PRY1" s="84"/>
      <c r="PRZ1" s="84"/>
      <c r="PSA1" s="84"/>
      <c r="PSB1" s="84"/>
      <c r="PSC1" s="84"/>
      <c r="PSD1" s="84"/>
      <c r="PSE1" s="84"/>
      <c r="PSF1" s="84"/>
      <c r="PSG1" s="84"/>
      <c r="PSH1" s="84"/>
      <c r="PSI1" s="84"/>
      <c r="PSJ1" s="84"/>
      <c r="PSK1" s="84"/>
      <c r="PSL1" s="84"/>
      <c r="PSM1" s="84"/>
      <c r="PSN1" s="84"/>
      <c r="PSO1" s="84"/>
      <c r="PSP1" s="84"/>
      <c r="PSQ1" s="84"/>
      <c r="PSR1" s="84"/>
      <c r="PSS1" s="84"/>
      <c r="PST1" s="84"/>
      <c r="PSU1" s="84"/>
      <c r="PSV1" s="84"/>
      <c r="PSW1" s="84"/>
      <c r="PSX1" s="84"/>
      <c r="PSY1" s="84"/>
      <c r="PSZ1" s="84"/>
      <c r="PTA1" s="84"/>
      <c r="PTB1" s="84"/>
      <c r="PTC1" s="84"/>
      <c r="PTD1" s="84"/>
      <c r="PTE1" s="84"/>
      <c r="PTF1" s="84"/>
      <c r="PTG1" s="84"/>
      <c r="PTH1" s="84"/>
      <c r="PTI1" s="84"/>
      <c r="PTJ1" s="84"/>
      <c r="PTK1" s="84"/>
      <c r="PTL1" s="84"/>
      <c r="PTM1" s="84"/>
      <c r="PTN1" s="84"/>
      <c r="PTO1" s="84"/>
      <c r="PTP1" s="84"/>
      <c r="PTQ1" s="84"/>
      <c r="PTR1" s="84"/>
      <c r="PTS1" s="84"/>
      <c r="PTT1" s="84"/>
      <c r="PTU1" s="84"/>
      <c r="PTV1" s="84"/>
      <c r="PTW1" s="84"/>
      <c r="PTX1" s="84"/>
      <c r="PTY1" s="84"/>
      <c r="PTZ1" s="84"/>
      <c r="PUA1" s="84"/>
      <c r="PUB1" s="84"/>
      <c r="PUC1" s="84"/>
      <c r="PUD1" s="84"/>
      <c r="PUE1" s="84"/>
      <c r="PUF1" s="84"/>
      <c r="PUG1" s="84"/>
      <c r="PUH1" s="84"/>
      <c r="PUI1" s="84"/>
      <c r="PUJ1" s="84"/>
      <c r="PUK1" s="84"/>
      <c r="PUL1" s="84"/>
      <c r="PUM1" s="84"/>
      <c r="PUN1" s="84"/>
      <c r="PUO1" s="84"/>
      <c r="PUP1" s="84"/>
      <c r="PUQ1" s="84"/>
      <c r="PUR1" s="84"/>
      <c r="PUS1" s="84"/>
      <c r="PUT1" s="84"/>
      <c r="PUU1" s="84"/>
      <c r="PUV1" s="84"/>
      <c r="PUW1" s="84"/>
      <c r="PUX1" s="84"/>
      <c r="PUY1" s="84"/>
      <c r="PUZ1" s="84"/>
      <c r="PVA1" s="84"/>
      <c r="PVB1" s="84"/>
      <c r="PVC1" s="84"/>
      <c r="PVD1" s="84"/>
      <c r="PVE1" s="84"/>
      <c r="PVF1" s="84"/>
      <c r="PVG1" s="84"/>
      <c r="PVH1" s="84"/>
      <c r="PVI1" s="84"/>
      <c r="PVJ1" s="84"/>
      <c r="PVK1" s="84"/>
      <c r="PVL1" s="84"/>
      <c r="PVM1" s="84"/>
      <c r="PVN1" s="84"/>
      <c r="PVO1" s="84"/>
      <c r="PVP1" s="84"/>
      <c r="PVQ1" s="84"/>
      <c r="PVR1" s="84"/>
      <c r="PVS1" s="84"/>
      <c r="PVT1" s="84"/>
      <c r="PVU1" s="84"/>
      <c r="PVV1" s="84"/>
      <c r="PVW1" s="84"/>
      <c r="PVX1" s="84"/>
      <c r="PVY1" s="84"/>
      <c r="PVZ1" s="84"/>
      <c r="PWA1" s="84"/>
      <c r="PWB1" s="84"/>
      <c r="PWC1" s="84"/>
      <c r="PWD1" s="84"/>
      <c r="PWE1" s="84"/>
      <c r="PWF1" s="84"/>
      <c r="PWG1" s="84"/>
      <c r="PWH1" s="84"/>
      <c r="PWI1" s="84"/>
      <c r="PWJ1" s="84"/>
      <c r="PWK1" s="84"/>
      <c r="PWL1" s="84"/>
      <c r="PWM1" s="84"/>
      <c r="PWN1" s="84"/>
      <c r="PWO1" s="84"/>
      <c r="PWP1" s="84"/>
      <c r="PWQ1" s="84"/>
      <c r="PWR1" s="84"/>
      <c r="PWS1" s="84"/>
      <c r="PWT1" s="84"/>
      <c r="PWU1" s="84"/>
      <c r="PWV1" s="84"/>
      <c r="PWW1" s="84"/>
      <c r="PWX1" s="84"/>
      <c r="PWY1" s="84"/>
      <c r="PWZ1" s="84"/>
      <c r="PXA1" s="84"/>
      <c r="PXB1" s="84"/>
      <c r="PXC1" s="84"/>
      <c r="PXD1" s="84"/>
      <c r="PXE1" s="84"/>
      <c r="PXF1" s="84"/>
      <c r="PXG1" s="84"/>
      <c r="PXH1" s="84"/>
      <c r="PXI1" s="84"/>
      <c r="PXJ1" s="84"/>
      <c r="PXK1" s="84"/>
      <c r="PXL1" s="84"/>
      <c r="PXM1" s="84"/>
      <c r="PXN1" s="84"/>
      <c r="PXO1" s="84"/>
      <c r="PXP1" s="84"/>
      <c r="PXQ1" s="84"/>
      <c r="PXR1" s="84"/>
      <c r="PXS1" s="84"/>
      <c r="PXT1" s="84"/>
      <c r="PXU1" s="84"/>
      <c r="PXV1" s="84"/>
      <c r="PXW1" s="84"/>
      <c r="PXX1" s="84"/>
      <c r="PXY1" s="84"/>
      <c r="PXZ1" s="84"/>
      <c r="PYA1" s="84"/>
      <c r="PYB1" s="84"/>
      <c r="PYC1" s="84"/>
      <c r="PYD1" s="84"/>
      <c r="PYE1" s="84"/>
      <c r="PYF1" s="84"/>
      <c r="PYG1" s="84"/>
      <c r="PYH1" s="84"/>
      <c r="PYI1" s="84"/>
      <c r="PYJ1" s="84"/>
      <c r="PYK1" s="84"/>
      <c r="PYL1" s="84"/>
      <c r="PYM1" s="84"/>
      <c r="PYN1" s="84"/>
      <c r="PYO1" s="84"/>
      <c r="PYP1" s="84"/>
      <c r="PYQ1" s="84"/>
      <c r="PYR1" s="84"/>
      <c r="PYS1" s="84"/>
      <c r="PYT1" s="84"/>
      <c r="PYU1" s="84"/>
      <c r="PYV1" s="84"/>
      <c r="PYW1" s="84"/>
      <c r="PYX1" s="84"/>
      <c r="PYY1" s="84"/>
      <c r="PYZ1" s="84"/>
      <c r="PZA1" s="84"/>
      <c r="PZB1" s="84"/>
      <c r="PZC1" s="84"/>
      <c r="PZD1" s="84"/>
      <c r="PZE1" s="84"/>
      <c r="PZF1" s="84"/>
      <c r="PZG1" s="84"/>
      <c r="PZH1" s="84"/>
      <c r="PZI1" s="84"/>
      <c r="PZJ1" s="84"/>
      <c r="PZK1" s="84"/>
      <c r="PZL1" s="84"/>
      <c r="PZM1" s="84"/>
      <c r="PZN1" s="84"/>
      <c r="PZO1" s="84"/>
      <c r="PZP1" s="84"/>
      <c r="PZQ1" s="84"/>
      <c r="PZR1" s="84"/>
      <c r="PZS1" s="84"/>
      <c r="PZT1" s="84"/>
      <c r="PZU1" s="84"/>
      <c r="PZV1" s="84"/>
      <c r="PZW1" s="84"/>
      <c r="PZX1" s="84"/>
      <c r="PZY1" s="84"/>
      <c r="PZZ1" s="84"/>
      <c r="QAA1" s="84"/>
      <c r="QAB1" s="84"/>
      <c r="QAC1" s="84"/>
      <c r="QAD1" s="84"/>
      <c r="QAE1" s="84"/>
      <c r="QAF1" s="84"/>
      <c r="QAG1" s="84"/>
      <c r="QAH1" s="84"/>
      <c r="QAI1" s="84"/>
      <c r="QAJ1" s="84"/>
      <c r="QAK1" s="84"/>
      <c r="QAL1" s="84"/>
      <c r="QAM1" s="84"/>
      <c r="QAN1" s="84"/>
      <c r="QAO1" s="84"/>
      <c r="QAP1" s="84"/>
      <c r="QAQ1" s="84"/>
      <c r="QAR1" s="84"/>
      <c r="QAS1" s="84"/>
      <c r="QAT1" s="84"/>
      <c r="QAU1" s="84"/>
      <c r="QAV1" s="84"/>
      <c r="QAW1" s="84"/>
      <c r="QAX1" s="84"/>
      <c r="QAY1" s="84"/>
      <c r="QAZ1" s="84"/>
      <c r="QBA1" s="84"/>
      <c r="QBB1" s="84"/>
      <c r="QBC1" s="84"/>
      <c r="QBD1" s="84"/>
      <c r="QBE1" s="84"/>
      <c r="QBF1" s="84"/>
      <c r="QBG1" s="84"/>
      <c r="QBH1" s="84"/>
      <c r="QBI1" s="84"/>
      <c r="QBJ1" s="84"/>
      <c r="QBK1" s="84"/>
      <c r="QBL1" s="84"/>
      <c r="QBM1" s="84"/>
      <c r="QBN1" s="84"/>
      <c r="QBO1" s="84"/>
      <c r="QBP1" s="84"/>
      <c r="QBQ1" s="84"/>
      <c r="QBR1" s="84"/>
      <c r="QBS1" s="84"/>
      <c r="QBT1" s="84"/>
      <c r="QBU1" s="84"/>
      <c r="QBV1" s="84"/>
      <c r="QBW1" s="84"/>
      <c r="QBX1" s="84"/>
      <c r="QBY1" s="84"/>
      <c r="QBZ1" s="84"/>
      <c r="QCA1" s="84"/>
      <c r="QCB1" s="84"/>
      <c r="QCC1" s="84"/>
      <c r="QCD1" s="84"/>
      <c r="QCE1" s="84"/>
      <c r="QCF1" s="84"/>
      <c r="QCG1" s="84"/>
      <c r="QCH1" s="84"/>
      <c r="QCI1" s="84"/>
      <c r="QCJ1" s="84"/>
      <c r="QCK1" s="84"/>
      <c r="QCL1" s="84"/>
      <c r="QCM1" s="84"/>
      <c r="QCN1" s="84"/>
      <c r="QCO1" s="84"/>
      <c r="QCP1" s="84"/>
      <c r="QCQ1" s="84"/>
      <c r="QCR1" s="84"/>
      <c r="QCS1" s="84"/>
      <c r="QCT1" s="84"/>
      <c r="QCU1" s="84"/>
      <c r="QCV1" s="84"/>
      <c r="QCW1" s="84"/>
      <c r="QCX1" s="84"/>
      <c r="QCY1" s="84"/>
      <c r="QCZ1" s="84"/>
      <c r="QDA1" s="84"/>
      <c r="QDB1" s="84"/>
      <c r="QDC1" s="84"/>
      <c r="QDD1" s="84"/>
      <c r="QDE1" s="84"/>
      <c r="QDF1" s="84"/>
      <c r="QDG1" s="84"/>
      <c r="QDH1" s="84"/>
      <c r="QDI1" s="84"/>
      <c r="QDJ1" s="84"/>
      <c r="QDK1" s="84"/>
      <c r="QDL1" s="84"/>
      <c r="QDM1" s="84"/>
      <c r="QDN1" s="84"/>
      <c r="QDO1" s="84"/>
      <c r="QDP1" s="84"/>
      <c r="QDQ1" s="84"/>
      <c r="QDR1" s="84"/>
      <c r="QDS1" s="84"/>
      <c r="QDT1" s="84"/>
      <c r="QDU1" s="84"/>
      <c r="QDV1" s="84"/>
      <c r="QDW1" s="84"/>
      <c r="QDX1" s="84"/>
      <c r="QDY1" s="84"/>
      <c r="QDZ1" s="84"/>
      <c r="QEA1" s="84"/>
      <c r="QEB1" s="84"/>
      <c r="QEC1" s="84"/>
      <c r="QED1" s="84"/>
      <c r="QEE1" s="84"/>
      <c r="QEF1" s="84"/>
      <c r="QEG1" s="84"/>
      <c r="QEH1" s="84"/>
      <c r="QEI1" s="84"/>
      <c r="QEJ1" s="84"/>
      <c r="QEK1" s="84"/>
      <c r="QEL1" s="84"/>
      <c r="QEM1" s="84"/>
      <c r="QEN1" s="84"/>
      <c r="QEO1" s="84"/>
      <c r="QEP1" s="84"/>
      <c r="QEQ1" s="84"/>
      <c r="QER1" s="84"/>
      <c r="QES1" s="84"/>
      <c r="QET1" s="84"/>
      <c r="QEU1" s="84"/>
      <c r="QEV1" s="84"/>
      <c r="QEW1" s="84"/>
      <c r="QEX1" s="84"/>
      <c r="QEY1" s="84"/>
      <c r="QEZ1" s="84"/>
      <c r="QFA1" s="84"/>
      <c r="QFB1" s="84"/>
      <c r="QFC1" s="84"/>
      <c r="QFD1" s="84"/>
      <c r="QFE1" s="84"/>
      <c r="QFF1" s="84"/>
      <c r="QFG1" s="84"/>
      <c r="QFH1" s="84"/>
      <c r="QFI1" s="84"/>
      <c r="QFJ1" s="84"/>
      <c r="QFK1" s="84"/>
      <c r="QFL1" s="84"/>
      <c r="QFM1" s="84"/>
      <c r="QFN1" s="84"/>
      <c r="QFO1" s="84"/>
      <c r="QFP1" s="84"/>
      <c r="QFQ1" s="84"/>
      <c r="QFR1" s="84"/>
      <c r="QFS1" s="84"/>
      <c r="QFT1" s="84"/>
      <c r="QFU1" s="84"/>
      <c r="QFV1" s="84"/>
      <c r="QFW1" s="84"/>
      <c r="QFX1" s="84"/>
      <c r="QFY1" s="84"/>
      <c r="QFZ1" s="84"/>
      <c r="QGA1" s="84"/>
      <c r="QGB1" s="84"/>
      <c r="QGC1" s="84"/>
      <c r="QGD1" s="84"/>
      <c r="QGE1" s="84"/>
      <c r="QGF1" s="84"/>
      <c r="QGG1" s="84"/>
      <c r="QGH1" s="84"/>
      <c r="QGI1" s="84"/>
      <c r="QGJ1" s="84"/>
      <c r="QGK1" s="84"/>
      <c r="QGL1" s="84"/>
      <c r="QGM1" s="84"/>
      <c r="QGN1" s="84"/>
      <c r="QGO1" s="84"/>
      <c r="QGP1" s="84"/>
      <c r="QGQ1" s="84"/>
      <c r="QGR1" s="84"/>
      <c r="QGS1" s="84"/>
      <c r="QGT1" s="84"/>
      <c r="QGU1" s="84"/>
      <c r="QGV1" s="84"/>
      <c r="QGW1" s="84"/>
      <c r="QGX1" s="84"/>
      <c r="QGY1" s="84"/>
      <c r="QGZ1" s="84"/>
      <c r="QHA1" s="84"/>
      <c r="QHB1" s="84"/>
      <c r="QHC1" s="84"/>
      <c r="QHD1" s="84"/>
      <c r="QHE1" s="84"/>
      <c r="QHF1" s="84"/>
      <c r="QHG1" s="84"/>
      <c r="QHH1" s="84"/>
      <c r="QHI1" s="84"/>
      <c r="QHJ1" s="84"/>
      <c r="QHK1" s="84"/>
      <c r="QHL1" s="84"/>
      <c r="QHM1" s="84"/>
      <c r="QHN1" s="84"/>
      <c r="QHO1" s="84"/>
      <c r="QHP1" s="84"/>
      <c r="QHQ1" s="84"/>
      <c r="QHR1" s="84"/>
      <c r="QHS1" s="84"/>
      <c r="QHT1" s="84"/>
      <c r="QHU1" s="84"/>
      <c r="QHV1" s="84"/>
      <c r="QHW1" s="84"/>
      <c r="QHX1" s="84"/>
      <c r="QHY1" s="84"/>
      <c r="QHZ1" s="84"/>
      <c r="QIA1" s="84"/>
      <c r="QIB1" s="84"/>
      <c r="QIC1" s="84"/>
      <c r="QID1" s="84"/>
      <c r="QIE1" s="84"/>
      <c r="QIF1" s="84"/>
      <c r="QIG1" s="84"/>
      <c r="QIH1" s="84"/>
      <c r="QII1" s="84"/>
      <c r="QIJ1" s="84"/>
      <c r="QIK1" s="84"/>
      <c r="QIL1" s="84"/>
      <c r="QIM1" s="84"/>
      <c r="QIN1" s="84"/>
      <c r="QIO1" s="84"/>
      <c r="QIP1" s="84"/>
      <c r="QIQ1" s="84"/>
      <c r="QIR1" s="84"/>
      <c r="QIS1" s="84"/>
      <c r="QIT1" s="84"/>
      <c r="QIU1" s="84"/>
      <c r="QIV1" s="84"/>
      <c r="QIW1" s="84"/>
      <c r="QIX1" s="84"/>
      <c r="QIY1" s="84"/>
      <c r="QIZ1" s="84"/>
      <c r="QJA1" s="84"/>
      <c r="QJB1" s="84"/>
      <c r="QJC1" s="84"/>
      <c r="QJD1" s="84"/>
      <c r="QJE1" s="84"/>
      <c r="QJF1" s="84"/>
      <c r="QJG1" s="84"/>
      <c r="QJH1" s="84"/>
      <c r="QJI1" s="84"/>
      <c r="QJJ1" s="84"/>
      <c r="QJK1" s="84"/>
      <c r="QJL1" s="84"/>
      <c r="QJM1" s="84"/>
      <c r="QJN1" s="84"/>
      <c r="QJO1" s="84"/>
      <c r="QJP1" s="84"/>
      <c r="QJQ1" s="84"/>
      <c r="QJR1" s="84"/>
      <c r="QJS1" s="84"/>
      <c r="QJT1" s="84"/>
      <c r="QJU1" s="84"/>
      <c r="QJV1" s="84"/>
      <c r="QJW1" s="84"/>
      <c r="QJX1" s="84"/>
      <c r="QJY1" s="84"/>
      <c r="QJZ1" s="84"/>
      <c r="QKA1" s="84"/>
      <c r="QKB1" s="84"/>
      <c r="QKC1" s="84"/>
      <c r="QKD1" s="84"/>
      <c r="QKE1" s="84"/>
      <c r="QKF1" s="84"/>
      <c r="QKG1" s="84"/>
      <c r="QKH1" s="84"/>
      <c r="QKI1" s="84"/>
      <c r="QKJ1" s="84"/>
      <c r="QKK1" s="84"/>
      <c r="QKL1" s="84"/>
      <c r="QKM1" s="84"/>
      <c r="QKN1" s="84"/>
      <c r="QKO1" s="84"/>
      <c r="QKP1" s="84"/>
      <c r="QKQ1" s="84"/>
      <c r="QKR1" s="84"/>
      <c r="QKS1" s="84"/>
      <c r="QKT1" s="84"/>
      <c r="QKU1" s="84"/>
      <c r="QKV1" s="84"/>
      <c r="QKW1" s="84"/>
      <c r="QKX1" s="84"/>
      <c r="QKY1" s="84"/>
      <c r="QKZ1" s="84"/>
      <c r="QLA1" s="84"/>
      <c r="QLB1" s="84"/>
      <c r="QLC1" s="84"/>
      <c r="QLD1" s="84"/>
      <c r="QLE1" s="84"/>
      <c r="QLF1" s="84"/>
      <c r="QLG1" s="84"/>
      <c r="QLH1" s="84"/>
      <c r="QLI1" s="84"/>
      <c r="QLJ1" s="84"/>
      <c r="QLK1" s="84"/>
      <c r="QLL1" s="84"/>
      <c r="QLM1" s="84"/>
      <c r="QLN1" s="84"/>
      <c r="QLO1" s="84"/>
      <c r="QLP1" s="84"/>
      <c r="QLQ1" s="84"/>
      <c r="QLR1" s="84"/>
      <c r="QLS1" s="84"/>
      <c r="QLT1" s="84"/>
      <c r="QLU1" s="84"/>
      <c r="QLV1" s="84"/>
      <c r="QLW1" s="84"/>
      <c r="QLX1" s="84"/>
      <c r="QLY1" s="84"/>
      <c r="QLZ1" s="84"/>
      <c r="QMA1" s="84"/>
      <c r="QMB1" s="84"/>
      <c r="QMC1" s="84"/>
      <c r="QMD1" s="84"/>
      <c r="QME1" s="84"/>
      <c r="QMF1" s="84"/>
      <c r="QMG1" s="84"/>
      <c r="QMH1" s="84"/>
      <c r="QMI1" s="84"/>
      <c r="QMJ1" s="84"/>
      <c r="QMK1" s="84"/>
      <c r="QML1" s="84"/>
      <c r="QMM1" s="84"/>
      <c r="QMN1" s="84"/>
      <c r="QMO1" s="84"/>
      <c r="QMP1" s="84"/>
      <c r="QMQ1" s="84"/>
      <c r="QMR1" s="84"/>
      <c r="QMS1" s="84"/>
      <c r="QMT1" s="84"/>
      <c r="QMU1" s="84"/>
      <c r="QMV1" s="84"/>
      <c r="QMW1" s="84"/>
      <c r="QMX1" s="84"/>
      <c r="QMY1" s="84"/>
      <c r="QMZ1" s="84"/>
      <c r="QNA1" s="84"/>
      <c r="QNB1" s="84"/>
      <c r="QNC1" s="84"/>
      <c r="QND1" s="84"/>
      <c r="QNE1" s="84"/>
      <c r="QNF1" s="84"/>
      <c r="QNG1" s="84"/>
      <c r="QNH1" s="84"/>
      <c r="QNI1" s="84"/>
      <c r="QNJ1" s="84"/>
      <c r="QNK1" s="84"/>
      <c r="QNL1" s="84"/>
      <c r="QNM1" s="84"/>
      <c r="QNN1" s="84"/>
      <c r="QNO1" s="84"/>
      <c r="QNP1" s="84"/>
      <c r="QNQ1" s="84"/>
      <c r="QNR1" s="84"/>
      <c r="QNS1" s="84"/>
      <c r="QNT1" s="84"/>
      <c r="QNU1" s="84"/>
      <c r="QNV1" s="84"/>
      <c r="QNW1" s="84"/>
      <c r="QNX1" s="84"/>
      <c r="QNY1" s="84"/>
      <c r="QNZ1" s="84"/>
      <c r="QOA1" s="84"/>
      <c r="QOB1" s="84"/>
      <c r="QOC1" s="84"/>
      <c r="QOD1" s="84"/>
      <c r="QOE1" s="84"/>
      <c r="QOF1" s="84"/>
      <c r="QOG1" s="84"/>
      <c r="QOH1" s="84"/>
      <c r="QOI1" s="84"/>
      <c r="QOJ1" s="84"/>
      <c r="QOK1" s="84"/>
      <c r="QOL1" s="84"/>
      <c r="QOM1" s="84"/>
      <c r="QON1" s="84"/>
      <c r="QOO1" s="84"/>
      <c r="QOP1" s="84"/>
      <c r="QOQ1" s="84"/>
      <c r="QOR1" s="84"/>
      <c r="QOS1" s="84"/>
      <c r="QOT1" s="84"/>
      <c r="QOU1" s="84"/>
      <c r="QOV1" s="84"/>
      <c r="QOW1" s="84"/>
      <c r="QOX1" s="84"/>
      <c r="QOY1" s="84"/>
      <c r="QOZ1" s="84"/>
      <c r="QPA1" s="84"/>
      <c r="QPB1" s="84"/>
      <c r="QPC1" s="84"/>
      <c r="QPD1" s="84"/>
      <c r="QPE1" s="84"/>
      <c r="QPF1" s="84"/>
      <c r="QPG1" s="84"/>
      <c r="QPH1" s="84"/>
      <c r="QPI1" s="84"/>
      <c r="QPJ1" s="84"/>
      <c r="QPK1" s="84"/>
      <c r="QPL1" s="84"/>
      <c r="QPM1" s="84"/>
      <c r="QPN1" s="84"/>
      <c r="QPO1" s="84"/>
      <c r="QPP1" s="84"/>
      <c r="QPQ1" s="84"/>
      <c r="QPR1" s="84"/>
      <c r="QPS1" s="84"/>
      <c r="QPT1" s="84"/>
      <c r="QPU1" s="84"/>
      <c r="QPV1" s="84"/>
      <c r="QPW1" s="84"/>
      <c r="QPX1" s="84"/>
      <c r="QPY1" s="84"/>
      <c r="QPZ1" s="84"/>
      <c r="QQA1" s="84"/>
      <c r="QQB1" s="84"/>
      <c r="QQC1" s="84"/>
      <c r="QQD1" s="84"/>
      <c r="QQE1" s="84"/>
      <c r="QQF1" s="84"/>
      <c r="QQG1" s="84"/>
      <c r="QQH1" s="84"/>
      <c r="QQI1" s="84"/>
      <c r="QQJ1" s="84"/>
      <c r="QQK1" s="84"/>
      <c r="QQL1" s="84"/>
      <c r="QQM1" s="84"/>
      <c r="QQN1" s="84"/>
      <c r="QQO1" s="84"/>
      <c r="QQP1" s="84"/>
      <c r="QQQ1" s="84"/>
      <c r="QQR1" s="84"/>
      <c r="QQS1" s="84"/>
      <c r="QQT1" s="84"/>
      <c r="QQU1" s="84"/>
      <c r="QQV1" s="84"/>
      <c r="QQW1" s="84"/>
      <c r="QQX1" s="84"/>
      <c r="QQY1" s="84"/>
      <c r="QQZ1" s="84"/>
      <c r="QRA1" s="84"/>
      <c r="QRB1" s="84"/>
      <c r="QRC1" s="84"/>
      <c r="QRD1" s="84"/>
      <c r="QRE1" s="84"/>
      <c r="QRF1" s="84"/>
      <c r="QRG1" s="84"/>
      <c r="QRH1" s="84"/>
      <c r="QRI1" s="84"/>
      <c r="QRJ1" s="84"/>
      <c r="QRK1" s="84"/>
      <c r="QRL1" s="84"/>
      <c r="QRM1" s="84"/>
      <c r="QRN1" s="84"/>
      <c r="QRO1" s="84"/>
      <c r="QRP1" s="84"/>
      <c r="QRQ1" s="84"/>
      <c r="QRR1" s="84"/>
      <c r="QRS1" s="84"/>
      <c r="QRT1" s="84"/>
      <c r="QRU1" s="84"/>
      <c r="QRV1" s="84"/>
      <c r="QRW1" s="84"/>
      <c r="QRX1" s="84"/>
      <c r="QRY1" s="84"/>
      <c r="QRZ1" s="84"/>
      <c r="QSA1" s="84"/>
      <c r="QSB1" s="84"/>
      <c r="QSC1" s="84"/>
      <c r="QSD1" s="84"/>
      <c r="QSE1" s="84"/>
      <c r="QSF1" s="84"/>
      <c r="QSG1" s="84"/>
      <c r="QSH1" s="84"/>
      <c r="QSI1" s="84"/>
      <c r="QSJ1" s="84"/>
      <c r="QSK1" s="84"/>
      <c r="QSL1" s="84"/>
      <c r="QSM1" s="84"/>
      <c r="QSN1" s="84"/>
      <c r="QSO1" s="84"/>
      <c r="QSP1" s="84"/>
      <c r="QSQ1" s="84"/>
      <c r="QSR1" s="84"/>
      <c r="QSS1" s="84"/>
      <c r="QST1" s="84"/>
      <c r="QSU1" s="84"/>
      <c r="QSV1" s="84"/>
      <c r="QSW1" s="84"/>
      <c r="QSX1" s="84"/>
      <c r="QSY1" s="84"/>
      <c r="QSZ1" s="84"/>
      <c r="QTA1" s="84"/>
      <c r="QTB1" s="84"/>
      <c r="QTC1" s="84"/>
      <c r="QTD1" s="84"/>
      <c r="QTE1" s="84"/>
      <c r="QTF1" s="84"/>
      <c r="QTG1" s="84"/>
      <c r="QTH1" s="84"/>
      <c r="QTI1" s="84"/>
      <c r="QTJ1" s="84"/>
      <c r="QTK1" s="84"/>
      <c r="QTL1" s="84"/>
      <c r="QTM1" s="84"/>
      <c r="QTN1" s="84"/>
      <c r="QTO1" s="84"/>
      <c r="QTP1" s="84"/>
      <c r="QTQ1" s="84"/>
      <c r="QTR1" s="84"/>
      <c r="QTS1" s="84"/>
      <c r="QTT1" s="84"/>
      <c r="QTU1" s="84"/>
      <c r="QTV1" s="84"/>
      <c r="QTW1" s="84"/>
      <c r="QTX1" s="84"/>
      <c r="QTY1" s="84"/>
      <c r="QTZ1" s="84"/>
      <c r="QUA1" s="84"/>
      <c r="QUB1" s="84"/>
      <c r="QUC1" s="84"/>
      <c r="QUD1" s="84"/>
      <c r="QUE1" s="84"/>
      <c r="QUF1" s="84"/>
      <c r="QUG1" s="84"/>
      <c r="QUH1" s="84"/>
      <c r="QUI1" s="84"/>
      <c r="QUJ1" s="84"/>
      <c r="QUK1" s="84"/>
      <c r="QUL1" s="84"/>
      <c r="QUM1" s="84"/>
      <c r="QUN1" s="84"/>
      <c r="QUO1" s="84"/>
      <c r="QUP1" s="84"/>
      <c r="QUQ1" s="84"/>
      <c r="QUR1" s="84"/>
      <c r="QUS1" s="84"/>
      <c r="QUT1" s="84"/>
      <c r="QUU1" s="84"/>
      <c r="QUV1" s="84"/>
      <c r="QUW1" s="84"/>
      <c r="QUX1" s="84"/>
      <c r="QUY1" s="84"/>
      <c r="QUZ1" s="84"/>
      <c r="QVA1" s="84"/>
      <c r="QVB1" s="84"/>
      <c r="QVC1" s="84"/>
      <c r="QVD1" s="84"/>
      <c r="QVE1" s="84"/>
      <c r="QVF1" s="84"/>
      <c r="QVG1" s="84"/>
      <c r="QVH1" s="84"/>
      <c r="QVI1" s="84"/>
      <c r="QVJ1" s="84"/>
      <c r="QVK1" s="84"/>
      <c r="QVL1" s="84"/>
      <c r="QVM1" s="84"/>
      <c r="QVN1" s="84"/>
      <c r="QVO1" s="84"/>
      <c r="QVP1" s="84"/>
      <c r="QVQ1" s="84"/>
      <c r="QVR1" s="84"/>
      <c r="QVS1" s="84"/>
      <c r="QVT1" s="84"/>
      <c r="QVU1" s="84"/>
      <c r="QVV1" s="84"/>
      <c r="QVW1" s="84"/>
      <c r="QVX1" s="84"/>
      <c r="QVY1" s="84"/>
      <c r="QVZ1" s="84"/>
      <c r="QWA1" s="84"/>
      <c r="QWB1" s="84"/>
      <c r="QWC1" s="84"/>
      <c r="QWD1" s="84"/>
      <c r="QWE1" s="84"/>
      <c r="QWF1" s="84"/>
      <c r="QWG1" s="84"/>
      <c r="QWH1" s="84"/>
      <c r="QWI1" s="84"/>
      <c r="QWJ1" s="84"/>
      <c r="QWK1" s="84"/>
      <c r="QWL1" s="84"/>
      <c r="QWM1" s="84"/>
      <c r="QWN1" s="84"/>
      <c r="QWO1" s="84"/>
      <c r="QWP1" s="84"/>
      <c r="QWQ1" s="84"/>
      <c r="QWR1" s="84"/>
      <c r="QWS1" s="84"/>
      <c r="QWT1" s="84"/>
      <c r="QWU1" s="84"/>
      <c r="QWV1" s="84"/>
      <c r="QWW1" s="84"/>
      <c r="QWX1" s="84"/>
      <c r="QWY1" s="84"/>
      <c r="QWZ1" s="84"/>
      <c r="QXA1" s="84"/>
      <c r="QXB1" s="84"/>
      <c r="QXC1" s="84"/>
      <c r="QXD1" s="84"/>
      <c r="QXE1" s="84"/>
      <c r="QXF1" s="84"/>
      <c r="QXG1" s="84"/>
      <c r="QXH1" s="84"/>
      <c r="QXI1" s="84"/>
      <c r="QXJ1" s="84"/>
      <c r="QXK1" s="84"/>
      <c r="QXL1" s="84"/>
      <c r="QXM1" s="84"/>
      <c r="QXN1" s="84"/>
      <c r="QXO1" s="84"/>
      <c r="QXP1" s="84"/>
      <c r="QXQ1" s="84"/>
      <c r="QXR1" s="84"/>
      <c r="QXS1" s="84"/>
      <c r="QXT1" s="84"/>
      <c r="QXU1" s="84"/>
      <c r="QXV1" s="84"/>
      <c r="QXW1" s="84"/>
      <c r="QXX1" s="84"/>
      <c r="QXY1" s="84"/>
      <c r="QXZ1" s="84"/>
      <c r="QYA1" s="84"/>
      <c r="QYB1" s="84"/>
      <c r="QYC1" s="84"/>
      <c r="QYD1" s="84"/>
      <c r="QYE1" s="84"/>
      <c r="QYF1" s="84"/>
      <c r="QYG1" s="84"/>
      <c r="QYH1" s="84"/>
      <c r="QYI1" s="84"/>
      <c r="QYJ1" s="84"/>
      <c r="QYK1" s="84"/>
      <c r="QYL1" s="84"/>
      <c r="QYM1" s="84"/>
      <c r="QYN1" s="84"/>
      <c r="QYO1" s="84"/>
      <c r="QYP1" s="84"/>
      <c r="QYQ1" s="84"/>
      <c r="QYR1" s="84"/>
      <c r="QYS1" s="84"/>
      <c r="QYT1" s="84"/>
      <c r="QYU1" s="84"/>
      <c r="QYV1" s="84"/>
      <c r="QYW1" s="84"/>
      <c r="QYX1" s="84"/>
      <c r="QYY1" s="84"/>
      <c r="QYZ1" s="84"/>
      <c r="QZA1" s="84"/>
      <c r="QZB1" s="84"/>
      <c r="QZC1" s="84"/>
      <c r="QZD1" s="84"/>
      <c r="QZE1" s="84"/>
      <c r="QZF1" s="84"/>
      <c r="QZG1" s="84"/>
      <c r="QZH1" s="84"/>
      <c r="QZI1" s="84"/>
      <c r="QZJ1" s="84"/>
      <c r="QZK1" s="84"/>
      <c r="QZL1" s="84"/>
      <c r="QZM1" s="84"/>
      <c r="QZN1" s="84"/>
      <c r="QZO1" s="84"/>
      <c r="QZP1" s="84"/>
      <c r="QZQ1" s="84"/>
      <c r="QZR1" s="84"/>
      <c r="QZS1" s="84"/>
      <c r="QZT1" s="84"/>
      <c r="QZU1" s="84"/>
      <c r="QZV1" s="84"/>
      <c r="QZW1" s="84"/>
      <c r="QZX1" s="84"/>
      <c r="QZY1" s="84"/>
      <c r="QZZ1" s="84"/>
      <c r="RAA1" s="84"/>
      <c r="RAB1" s="84"/>
      <c r="RAC1" s="84"/>
      <c r="RAD1" s="84"/>
      <c r="RAE1" s="84"/>
      <c r="RAF1" s="84"/>
      <c r="RAG1" s="84"/>
      <c r="RAH1" s="84"/>
      <c r="RAI1" s="84"/>
      <c r="RAJ1" s="84"/>
      <c r="RAK1" s="84"/>
      <c r="RAL1" s="84"/>
      <c r="RAM1" s="84"/>
      <c r="RAN1" s="84"/>
      <c r="RAO1" s="84"/>
      <c r="RAP1" s="84"/>
      <c r="RAQ1" s="84"/>
      <c r="RAR1" s="84"/>
      <c r="RAS1" s="84"/>
      <c r="RAT1" s="84"/>
      <c r="RAU1" s="84"/>
      <c r="RAV1" s="84"/>
      <c r="RAW1" s="84"/>
      <c r="RAX1" s="84"/>
      <c r="RAY1" s="84"/>
      <c r="RAZ1" s="84"/>
      <c r="RBA1" s="84"/>
      <c r="RBB1" s="84"/>
      <c r="RBC1" s="84"/>
      <c r="RBD1" s="84"/>
      <c r="RBE1" s="84"/>
      <c r="RBF1" s="84"/>
      <c r="RBG1" s="84"/>
      <c r="RBH1" s="84"/>
      <c r="RBI1" s="84"/>
      <c r="RBJ1" s="84"/>
      <c r="RBK1" s="84"/>
      <c r="RBL1" s="84"/>
      <c r="RBM1" s="84"/>
      <c r="RBN1" s="84"/>
      <c r="RBO1" s="84"/>
      <c r="RBP1" s="84"/>
      <c r="RBQ1" s="84"/>
      <c r="RBR1" s="84"/>
      <c r="RBS1" s="84"/>
      <c r="RBT1" s="84"/>
      <c r="RBU1" s="84"/>
      <c r="RBV1" s="84"/>
      <c r="RBW1" s="84"/>
      <c r="RBX1" s="84"/>
      <c r="RBY1" s="84"/>
      <c r="RBZ1" s="84"/>
      <c r="RCA1" s="84"/>
      <c r="RCB1" s="84"/>
      <c r="RCC1" s="84"/>
      <c r="RCD1" s="84"/>
      <c r="RCE1" s="84"/>
      <c r="RCF1" s="84"/>
      <c r="RCG1" s="84"/>
      <c r="RCH1" s="84"/>
      <c r="RCI1" s="84"/>
      <c r="RCJ1" s="84"/>
      <c r="RCK1" s="84"/>
      <c r="RCL1" s="84"/>
      <c r="RCM1" s="84"/>
      <c r="RCN1" s="84"/>
      <c r="RCO1" s="84"/>
      <c r="RCP1" s="84"/>
      <c r="RCQ1" s="84"/>
      <c r="RCR1" s="84"/>
      <c r="RCS1" s="84"/>
      <c r="RCT1" s="84"/>
      <c r="RCU1" s="84"/>
      <c r="RCV1" s="84"/>
      <c r="RCW1" s="84"/>
      <c r="RCX1" s="84"/>
      <c r="RCY1" s="84"/>
      <c r="RCZ1" s="84"/>
      <c r="RDA1" s="84"/>
      <c r="RDB1" s="84"/>
      <c r="RDC1" s="84"/>
      <c r="RDD1" s="84"/>
      <c r="RDE1" s="84"/>
      <c r="RDF1" s="84"/>
      <c r="RDG1" s="84"/>
      <c r="RDH1" s="84"/>
      <c r="RDI1" s="84"/>
      <c r="RDJ1" s="84"/>
      <c r="RDK1" s="84"/>
      <c r="RDL1" s="84"/>
      <c r="RDM1" s="84"/>
      <c r="RDN1" s="84"/>
      <c r="RDO1" s="84"/>
      <c r="RDP1" s="84"/>
      <c r="RDQ1" s="84"/>
      <c r="RDR1" s="84"/>
      <c r="RDS1" s="84"/>
      <c r="RDT1" s="84"/>
      <c r="RDU1" s="84"/>
      <c r="RDV1" s="84"/>
      <c r="RDW1" s="84"/>
      <c r="RDX1" s="84"/>
      <c r="RDY1" s="84"/>
      <c r="RDZ1" s="84"/>
      <c r="REA1" s="84"/>
      <c r="REB1" s="84"/>
      <c r="REC1" s="84"/>
      <c r="RED1" s="84"/>
      <c r="REE1" s="84"/>
      <c r="REF1" s="84"/>
      <c r="REG1" s="84"/>
      <c r="REH1" s="84"/>
      <c r="REI1" s="84"/>
      <c r="REJ1" s="84"/>
      <c r="REK1" s="84"/>
      <c r="REL1" s="84"/>
      <c r="REM1" s="84"/>
      <c r="REN1" s="84"/>
      <c r="REO1" s="84"/>
      <c r="REP1" s="84"/>
      <c r="REQ1" s="84"/>
      <c r="RER1" s="84"/>
      <c r="RES1" s="84"/>
      <c r="RET1" s="84"/>
      <c r="REU1" s="84"/>
      <c r="REV1" s="84"/>
      <c r="REW1" s="84"/>
      <c r="REX1" s="84"/>
      <c r="REY1" s="84"/>
      <c r="REZ1" s="84"/>
      <c r="RFA1" s="84"/>
      <c r="RFB1" s="84"/>
      <c r="RFC1" s="84"/>
      <c r="RFD1" s="84"/>
      <c r="RFE1" s="84"/>
      <c r="RFF1" s="84"/>
      <c r="RFG1" s="84"/>
      <c r="RFH1" s="84"/>
      <c r="RFI1" s="84"/>
      <c r="RFJ1" s="84"/>
      <c r="RFK1" s="84"/>
      <c r="RFL1" s="84"/>
      <c r="RFM1" s="84"/>
      <c r="RFN1" s="84"/>
      <c r="RFO1" s="84"/>
      <c r="RFP1" s="84"/>
      <c r="RFQ1" s="84"/>
      <c r="RFR1" s="84"/>
      <c r="RFS1" s="84"/>
      <c r="RFT1" s="84"/>
      <c r="RFU1" s="84"/>
      <c r="RFV1" s="84"/>
      <c r="RFW1" s="84"/>
      <c r="RFX1" s="84"/>
      <c r="RFY1" s="84"/>
      <c r="RFZ1" s="84"/>
      <c r="RGA1" s="84"/>
      <c r="RGB1" s="84"/>
      <c r="RGC1" s="84"/>
      <c r="RGD1" s="84"/>
      <c r="RGE1" s="84"/>
      <c r="RGF1" s="84"/>
      <c r="RGG1" s="84"/>
      <c r="RGH1" s="84"/>
      <c r="RGI1" s="84"/>
      <c r="RGJ1" s="84"/>
      <c r="RGK1" s="84"/>
      <c r="RGL1" s="84"/>
      <c r="RGM1" s="84"/>
      <c r="RGN1" s="84"/>
      <c r="RGO1" s="84"/>
      <c r="RGP1" s="84"/>
      <c r="RGQ1" s="84"/>
      <c r="RGR1" s="84"/>
      <c r="RGS1" s="84"/>
      <c r="RGT1" s="84"/>
      <c r="RGU1" s="84"/>
      <c r="RGV1" s="84"/>
      <c r="RGW1" s="84"/>
      <c r="RGX1" s="84"/>
      <c r="RGY1" s="84"/>
      <c r="RGZ1" s="84"/>
      <c r="RHA1" s="84"/>
      <c r="RHB1" s="84"/>
      <c r="RHC1" s="84"/>
      <c r="RHD1" s="84"/>
      <c r="RHE1" s="84"/>
      <c r="RHF1" s="84"/>
      <c r="RHG1" s="84"/>
      <c r="RHH1" s="84"/>
      <c r="RHI1" s="84"/>
      <c r="RHJ1" s="84"/>
      <c r="RHK1" s="84"/>
      <c r="RHL1" s="84"/>
      <c r="RHM1" s="84"/>
      <c r="RHN1" s="84"/>
      <c r="RHO1" s="84"/>
      <c r="RHP1" s="84"/>
      <c r="RHQ1" s="84"/>
      <c r="RHR1" s="84"/>
      <c r="RHS1" s="84"/>
      <c r="RHT1" s="84"/>
      <c r="RHU1" s="84"/>
      <c r="RHV1" s="84"/>
      <c r="RHW1" s="84"/>
      <c r="RHX1" s="84"/>
      <c r="RHY1" s="84"/>
      <c r="RHZ1" s="84"/>
      <c r="RIA1" s="84"/>
      <c r="RIB1" s="84"/>
      <c r="RIC1" s="84"/>
      <c r="RID1" s="84"/>
      <c r="RIE1" s="84"/>
      <c r="RIF1" s="84"/>
      <c r="RIG1" s="84"/>
      <c r="RIH1" s="84"/>
      <c r="RII1" s="84"/>
      <c r="RIJ1" s="84"/>
      <c r="RIK1" s="84"/>
      <c r="RIL1" s="84"/>
      <c r="RIM1" s="84"/>
      <c r="RIN1" s="84"/>
      <c r="RIO1" s="84"/>
      <c r="RIP1" s="84"/>
      <c r="RIQ1" s="84"/>
      <c r="RIR1" s="84"/>
      <c r="RIS1" s="84"/>
      <c r="RIT1" s="84"/>
      <c r="RIU1" s="84"/>
      <c r="RIV1" s="84"/>
      <c r="RIW1" s="84"/>
      <c r="RIX1" s="84"/>
      <c r="RIY1" s="84"/>
      <c r="RIZ1" s="84"/>
      <c r="RJA1" s="84"/>
      <c r="RJB1" s="84"/>
      <c r="RJC1" s="84"/>
      <c r="RJD1" s="84"/>
      <c r="RJE1" s="84"/>
      <c r="RJF1" s="84"/>
      <c r="RJG1" s="84"/>
      <c r="RJH1" s="84"/>
      <c r="RJI1" s="84"/>
      <c r="RJJ1" s="84"/>
      <c r="RJK1" s="84"/>
      <c r="RJL1" s="84"/>
      <c r="RJM1" s="84"/>
      <c r="RJN1" s="84"/>
      <c r="RJO1" s="84"/>
      <c r="RJP1" s="84"/>
      <c r="RJQ1" s="84"/>
      <c r="RJR1" s="84"/>
      <c r="RJS1" s="84"/>
      <c r="RJT1" s="84"/>
      <c r="RJU1" s="84"/>
      <c r="RJV1" s="84"/>
      <c r="RJW1" s="84"/>
      <c r="RJX1" s="84"/>
      <c r="RJY1" s="84"/>
      <c r="RJZ1" s="84"/>
      <c r="RKA1" s="84"/>
      <c r="RKB1" s="84"/>
      <c r="RKC1" s="84"/>
      <c r="RKD1" s="84"/>
      <c r="RKE1" s="84"/>
      <c r="RKF1" s="84"/>
      <c r="RKG1" s="84"/>
      <c r="RKH1" s="84"/>
      <c r="RKI1" s="84"/>
      <c r="RKJ1" s="84"/>
      <c r="RKK1" s="84"/>
      <c r="RKL1" s="84"/>
      <c r="RKM1" s="84"/>
      <c r="RKN1" s="84"/>
      <c r="RKO1" s="84"/>
      <c r="RKP1" s="84"/>
      <c r="RKQ1" s="84"/>
      <c r="RKR1" s="84"/>
      <c r="RKS1" s="84"/>
      <c r="RKT1" s="84"/>
      <c r="RKU1" s="84"/>
      <c r="RKV1" s="84"/>
      <c r="RKW1" s="84"/>
      <c r="RKX1" s="84"/>
      <c r="RKY1" s="84"/>
      <c r="RKZ1" s="84"/>
      <c r="RLA1" s="84"/>
      <c r="RLB1" s="84"/>
      <c r="RLC1" s="84"/>
      <c r="RLD1" s="84"/>
      <c r="RLE1" s="84"/>
      <c r="RLF1" s="84"/>
      <c r="RLG1" s="84"/>
      <c r="RLH1" s="84"/>
      <c r="RLI1" s="84"/>
      <c r="RLJ1" s="84"/>
      <c r="RLK1" s="84"/>
      <c r="RLL1" s="84"/>
      <c r="RLM1" s="84"/>
      <c r="RLN1" s="84"/>
      <c r="RLO1" s="84"/>
      <c r="RLP1" s="84"/>
      <c r="RLQ1" s="84"/>
      <c r="RLR1" s="84"/>
      <c r="RLS1" s="84"/>
      <c r="RLT1" s="84"/>
      <c r="RLU1" s="84"/>
      <c r="RLV1" s="84"/>
      <c r="RLW1" s="84"/>
      <c r="RLX1" s="84"/>
      <c r="RLY1" s="84"/>
      <c r="RLZ1" s="84"/>
      <c r="RMA1" s="84"/>
      <c r="RMB1" s="84"/>
      <c r="RMC1" s="84"/>
      <c r="RMD1" s="84"/>
      <c r="RME1" s="84"/>
      <c r="RMF1" s="84"/>
      <c r="RMG1" s="84"/>
      <c r="RMH1" s="84"/>
      <c r="RMI1" s="84"/>
      <c r="RMJ1" s="84"/>
      <c r="RMK1" s="84"/>
      <c r="RML1" s="84"/>
      <c r="RMM1" s="84"/>
      <c r="RMN1" s="84"/>
      <c r="RMO1" s="84"/>
      <c r="RMP1" s="84"/>
      <c r="RMQ1" s="84"/>
      <c r="RMR1" s="84"/>
      <c r="RMS1" s="84"/>
      <c r="RMT1" s="84"/>
      <c r="RMU1" s="84"/>
      <c r="RMV1" s="84"/>
      <c r="RMW1" s="84"/>
      <c r="RMX1" s="84"/>
      <c r="RMY1" s="84"/>
      <c r="RMZ1" s="84"/>
      <c r="RNA1" s="84"/>
      <c r="RNB1" s="84"/>
      <c r="RNC1" s="84"/>
      <c r="RND1" s="84"/>
      <c r="RNE1" s="84"/>
      <c r="RNF1" s="84"/>
      <c r="RNG1" s="84"/>
      <c r="RNH1" s="84"/>
      <c r="RNI1" s="84"/>
      <c r="RNJ1" s="84"/>
      <c r="RNK1" s="84"/>
      <c r="RNL1" s="84"/>
      <c r="RNM1" s="84"/>
      <c r="RNN1" s="84"/>
      <c r="RNO1" s="84"/>
      <c r="RNP1" s="84"/>
      <c r="RNQ1" s="84"/>
      <c r="RNR1" s="84"/>
      <c r="RNS1" s="84"/>
      <c r="RNT1" s="84"/>
      <c r="RNU1" s="84"/>
      <c r="RNV1" s="84"/>
      <c r="RNW1" s="84"/>
      <c r="RNX1" s="84"/>
      <c r="RNY1" s="84"/>
      <c r="RNZ1" s="84"/>
      <c r="ROA1" s="84"/>
      <c r="ROB1" s="84"/>
      <c r="ROC1" s="84"/>
      <c r="ROD1" s="84"/>
      <c r="ROE1" s="84"/>
      <c r="ROF1" s="84"/>
      <c r="ROG1" s="84"/>
      <c r="ROH1" s="84"/>
      <c r="ROI1" s="84"/>
      <c r="ROJ1" s="84"/>
      <c r="ROK1" s="84"/>
      <c r="ROL1" s="84"/>
      <c r="ROM1" s="84"/>
      <c r="RON1" s="84"/>
      <c r="ROO1" s="84"/>
      <c r="ROP1" s="84"/>
      <c r="ROQ1" s="84"/>
      <c r="ROR1" s="84"/>
      <c r="ROS1" s="84"/>
      <c r="ROT1" s="84"/>
      <c r="ROU1" s="84"/>
      <c r="ROV1" s="84"/>
      <c r="ROW1" s="84"/>
      <c r="ROX1" s="84"/>
      <c r="ROY1" s="84"/>
      <c r="ROZ1" s="84"/>
      <c r="RPA1" s="84"/>
      <c r="RPB1" s="84"/>
      <c r="RPC1" s="84"/>
      <c r="RPD1" s="84"/>
      <c r="RPE1" s="84"/>
      <c r="RPF1" s="84"/>
      <c r="RPG1" s="84"/>
      <c r="RPH1" s="84"/>
      <c r="RPI1" s="84"/>
      <c r="RPJ1" s="84"/>
      <c r="RPK1" s="84"/>
      <c r="RPL1" s="84"/>
      <c r="RPM1" s="84"/>
      <c r="RPN1" s="84"/>
      <c r="RPO1" s="84"/>
      <c r="RPP1" s="84"/>
      <c r="RPQ1" s="84"/>
      <c r="RPR1" s="84"/>
      <c r="RPS1" s="84"/>
      <c r="RPT1" s="84"/>
      <c r="RPU1" s="84"/>
      <c r="RPV1" s="84"/>
      <c r="RPW1" s="84"/>
      <c r="RPX1" s="84"/>
      <c r="RPY1" s="84"/>
      <c r="RPZ1" s="84"/>
      <c r="RQA1" s="84"/>
      <c r="RQB1" s="84"/>
      <c r="RQC1" s="84"/>
      <c r="RQD1" s="84"/>
      <c r="RQE1" s="84"/>
      <c r="RQF1" s="84"/>
      <c r="RQG1" s="84"/>
      <c r="RQH1" s="84"/>
      <c r="RQI1" s="84"/>
      <c r="RQJ1" s="84"/>
      <c r="RQK1" s="84"/>
      <c r="RQL1" s="84"/>
      <c r="RQM1" s="84"/>
      <c r="RQN1" s="84"/>
      <c r="RQO1" s="84"/>
      <c r="RQP1" s="84"/>
      <c r="RQQ1" s="84"/>
      <c r="RQR1" s="84"/>
      <c r="RQS1" s="84"/>
      <c r="RQT1" s="84"/>
      <c r="RQU1" s="84"/>
      <c r="RQV1" s="84"/>
      <c r="RQW1" s="84"/>
      <c r="RQX1" s="84"/>
      <c r="RQY1" s="84"/>
      <c r="RQZ1" s="84"/>
      <c r="RRA1" s="84"/>
      <c r="RRB1" s="84"/>
      <c r="RRC1" s="84"/>
      <c r="RRD1" s="84"/>
      <c r="RRE1" s="84"/>
      <c r="RRF1" s="84"/>
      <c r="RRG1" s="84"/>
      <c r="RRH1" s="84"/>
      <c r="RRI1" s="84"/>
      <c r="RRJ1" s="84"/>
      <c r="RRK1" s="84"/>
      <c r="RRL1" s="84"/>
      <c r="RRM1" s="84"/>
      <c r="RRN1" s="84"/>
      <c r="RRO1" s="84"/>
      <c r="RRP1" s="84"/>
      <c r="RRQ1" s="84"/>
      <c r="RRR1" s="84"/>
      <c r="RRS1" s="84"/>
      <c r="RRT1" s="84"/>
      <c r="RRU1" s="84"/>
      <c r="RRV1" s="84"/>
      <c r="RRW1" s="84"/>
      <c r="RRX1" s="84"/>
      <c r="RRY1" s="84"/>
      <c r="RRZ1" s="84"/>
      <c r="RSA1" s="84"/>
      <c r="RSB1" s="84"/>
      <c r="RSC1" s="84"/>
      <c r="RSD1" s="84"/>
      <c r="RSE1" s="84"/>
      <c r="RSF1" s="84"/>
      <c r="RSG1" s="84"/>
      <c r="RSH1" s="84"/>
      <c r="RSI1" s="84"/>
      <c r="RSJ1" s="84"/>
      <c r="RSK1" s="84"/>
      <c r="RSL1" s="84"/>
      <c r="RSM1" s="84"/>
      <c r="RSN1" s="84"/>
      <c r="RSO1" s="84"/>
      <c r="RSP1" s="84"/>
      <c r="RSQ1" s="84"/>
      <c r="RSR1" s="84"/>
      <c r="RSS1" s="84"/>
      <c r="RST1" s="84"/>
      <c r="RSU1" s="84"/>
      <c r="RSV1" s="84"/>
      <c r="RSW1" s="84"/>
      <c r="RSX1" s="84"/>
      <c r="RSY1" s="84"/>
      <c r="RSZ1" s="84"/>
      <c r="RTA1" s="84"/>
      <c r="RTB1" s="84"/>
      <c r="RTC1" s="84"/>
      <c r="RTD1" s="84"/>
      <c r="RTE1" s="84"/>
      <c r="RTF1" s="84"/>
      <c r="RTG1" s="84"/>
      <c r="RTH1" s="84"/>
      <c r="RTI1" s="84"/>
      <c r="RTJ1" s="84"/>
      <c r="RTK1" s="84"/>
      <c r="RTL1" s="84"/>
      <c r="RTM1" s="84"/>
      <c r="RTN1" s="84"/>
      <c r="RTO1" s="84"/>
      <c r="RTP1" s="84"/>
      <c r="RTQ1" s="84"/>
      <c r="RTR1" s="84"/>
      <c r="RTS1" s="84"/>
      <c r="RTT1" s="84"/>
      <c r="RTU1" s="84"/>
      <c r="RTV1" s="84"/>
      <c r="RTW1" s="84"/>
      <c r="RTX1" s="84"/>
      <c r="RTY1" s="84"/>
      <c r="RTZ1" s="84"/>
      <c r="RUA1" s="84"/>
      <c r="RUB1" s="84"/>
      <c r="RUC1" s="84"/>
      <c r="RUD1" s="84"/>
      <c r="RUE1" s="84"/>
      <c r="RUF1" s="84"/>
      <c r="RUG1" s="84"/>
      <c r="RUH1" s="84"/>
      <c r="RUI1" s="84"/>
      <c r="RUJ1" s="84"/>
      <c r="RUK1" s="84"/>
      <c r="RUL1" s="84"/>
      <c r="RUM1" s="84"/>
      <c r="RUN1" s="84"/>
      <c r="RUO1" s="84"/>
      <c r="RUP1" s="84"/>
      <c r="RUQ1" s="84"/>
      <c r="RUR1" s="84"/>
      <c r="RUS1" s="84"/>
      <c r="RUT1" s="84"/>
      <c r="RUU1" s="84"/>
      <c r="RUV1" s="84"/>
      <c r="RUW1" s="84"/>
      <c r="RUX1" s="84"/>
      <c r="RUY1" s="84"/>
      <c r="RUZ1" s="84"/>
      <c r="RVA1" s="84"/>
      <c r="RVB1" s="84"/>
      <c r="RVC1" s="84"/>
      <c r="RVD1" s="84"/>
      <c r="RVE1" s="84"/>
      <c r="RVF1" s="84"/>
      <c r="RVG1" s="84"/>
      <c r="RVH1" s="84"/>
      <c r="RVI1" s="84"/>
      <c r="RVJ1" s="84"/>
      <c r="RVK1" s="84"/>
      <c r="RVL1" s="84"/>
      <c r="RVM1" s="84"/>
      <c r="RVN1" s="84"/>
      <c r="RVO1" s="84"/>
      <c r="RVP1" s="84"/>
      <c r="RVQ1" s="84"/>
      <c r="RVR1" s="84"/>
      <c r="RVS1" s="84"/>
      <c r="RVT1" s="84"/>
      <c r="RVU1" s="84"/>
      <c r="RVV1" s="84"/>
      <c r="RVW1" s="84"/>
      <c r="RVX1" s="84"/>
      <c r="RVY1" s="84"/>
      <c r="RVZ1" s="84"/>
      <c r="RWA1" s="84"/>
      <c r="RWB1" s="84"/>
      <c r="RWC1" s="84"/>
      <c r="RWD1" s="84"/>
      <c r="RWE1" s="84"/>
      <c r="RWF1" s="84"/>
      <c r="RWG1" s="84"/>
      <c r="RWH1" s="84"/>
      <c r="RWI1" s="84"/>
      <c r="RWJ1" s="84"/>
      <c r="RWK1" s="84"/>
      <c r="RWL1" s="84"/>
      <c r="RWM1" s="84"/>
      <c r="RWN1" s="84"/>
      <c r="RWO1" s="84"/>
      <c r="RWP1" s="84"/>
      <c r="RWQ1" s="84"/>
      <c r="RWR1" s="84"/>
      <c r="RWS1" s="84"/>
      <c r="RWT1" s="84"/>
      <c r="RWU1" s="84"/>
      <c r="RWV1" s="84"/>
      <c r="RWW1" s="84"/>
      <c r="RWX1" s="84"/>
      <c r="RWY1" s="84"/>
      <c r="RWZ1" s="84"/>
      <c r="RXA1" s="84"/>
      <c r="RXB1" s="84"/>
      <c r="RXC1" s="84"/>
      <c r="RXD1" s="84"/>
      <c r="RXE1" s="84"/>
      <c r="RXF1" s="84"/>
      <c r="RXG1" s="84"/>
      <c r="RXH1" s="84"/>
      <c r="RXI1" s="84"/>
      <c r="RXJ1" s="84"/>
      <c r="RXK1" s="84"/>
      <c r="RXL1" s="84"/>
      <c r="RXM1" s="84"/>
      <c r="RXN1" s="84"/>
      <c r="RXO1" s="84"/>
      <c r="RXP1" s="84"/>
      <c r="RXQ1" s="84"/>
      <c r="RXR1" s="84"/>
      <c r="RXS1" s="84"/>
      <c r="RXT1" s="84"/>
      <c r="RXU1" s="84"/>
      <c r="RXV1" s="84"/>
      <c r="RXW1" s="84"/>
      <c r="RXX1" s="84"/>
      <c r="RXY1" s="84"/>
      <c r="RXZ1" s="84"/>
      <c r="RYA1" s="84"/>
      <c r="RYB1" s="84"/>
      <c r="RYC1" s="84"/>
      <c r="RYD1" s="84"/>
      <c r="RYE1" s="84"/>
      <c r="RYF1" s="84"/>
      <c r="RYG1" s="84"/>
      <c r="RYH1" s="84"/>
      <c r="RYI1" s="84"/>
      <c r="RYJ1" s="84"/>
      <c r="RYK1" s="84"/>
      <c r="RYL1" s="84"/>
      <c r="RYM1" s="84"/>
      <c r="RYN1" s="84"/>
      <c r="RYO1" s="84"/>
      <c r="RYP1" s="84"/>
      <c r="RYQ1" s="84"/>
      <c r="RYR1" s="84"/>
      <c r="RYS1" s="84"/>
      <c r="RYT1" s="84"/>
      <c r="RYU1" s="84"/>
      <c r="RYV1" s="84"/>
      <c r="RYW1" s="84"/>
      <c r="RYX1" s="84"/>
      <c r="RYY1" s="84"/>
      <c r="RYZ1" s="84"/>
      <c r="RZA1" s="84"/>
      <c r="RZB1" s="84"/>
      <c r="RZC1" s="84"/>
      <c r="RZD1" s="84"/>
      <c r="RZE1" s="84"/>
      <c r="RZF1" s="84"/>
      <c r="RZG1" s="84"/>
      <c r="RZH1" s="84"/>
      <c r="RZI1" s="84"/>
      <c r="RZJ1" s="84"/>
      <c r="RZK1" s="84"/>
      <c r="RZL1" s="84"/>
      <c r="RZM1" s="84"/>
      <c r="RZN1" s="84"/>
      <c r="RZO1" s="84"/>
      <c r="RZP1" s="84"/>
      <c r="RZQ1" s="84"/>
      <c r="RZR1" s="84"/>
      <c r="RZS1" s="84"/>
      <c r="RZT1" s="84"/>
      <c r="RZU1" s="84"/>
      <c r="RZV1" s="84"/>
      <c r="RZW1" s="84"/>
      <c r="RZX1" s="84"/>
      <c r="RZY1" s="84"/>
      <c r="RZZ1" s="84"/>
      <c r="SAA1" s="84"/>
      <c r="SAB1" s="84"/>
      <c r="SAC1" s="84"/>
      <c r="SAD1" s="84"/>
      <c r="SAE1" s="84"/>
      <c r="SAF1" s="84"/>
      <c r="SAG1" s="84"/>
      <c r="SAH1" s="84"/>
      <c r="SAI1" s="84"/>
      <c r="SAJ1" s="84"/>
      <c r="SAK1" s="84"/>
      <c r="SAL1" s="84"/>
      <c r="SAM1" s="84"/>
      <c r="SAN1" s="84"/>
      <c r="SAO1" s="84"/>
      <c r="SAP1" s="84"/>
      <c r="SAQ1" s="84"/>
      <c r="SAR1" s="84"/>
      <c r="SAS1" s="84"/>
      <c r="SAT1" s="84"/>
      <c r="SAU1" s="84"/>
      <c r="SAV1" s="84"/>
      <c r="SAW1" s="84"/>
      <c r="SAX1" s="84"/>
      <c r="SAY1" s="84"/>
      <c r="SAZ1" s="84"/>
      <c r="SBA1" s="84"/>
      <c r="SBB1" s="84"/>
      <c r="SBC1" s="84"/>
      <c r="SBD1" s="84"/>
      <c r="SBE1" s="84"/>
      <c r="SBF1" s="84"/>
      <c r="SBG1" s="84"/>
      <c r="SBH1" s="84"/>
      <c r="SBI1" s="84"/>
      <c r="SBJ1" s="84"/>
      <c r="SBK1" s="84"/>
      <c r="SBL1" s="84"/>
      <c r="SBM1" s="84"/>
      <c r="SBN1" s="84"/>
      <c r="SBO1" s="84"/>
      <c r="SBP1" s="84"/>
      <c r="SBQ1" s="84"/>
      <c r="SBR1" s="84"/>
      <c r="SBS1" s="84"/>
      <c r="SBT1" s="84"/>
      <c r="SBU1" s="84"/>
      <c r="SBV1" s="84"/>
      <c r="SBW1" s="84"/>
      <c r="SBX1" s="84"/>
      <c r="SBY1" s="84"/>
      <c r="SBZ1" s="84"/>
      <c r="SCA1" s="84"/>
      <c r="SCB1" s="84"/>
      <c r="SCC1" s="84"/>
      <c r="SCD1" s="84"/>
      <c r="SCE1" s="84"/>
      <c r="SCF1" s="84"/>
      <c r="SCG1" s="84"/>
      <c r="SCH1" s="84"/>
      <c r="SCI1" s="84"/>
      <c r="SCJ1" s="84"/>
      <c r="SCK1" s="84"/>
      <c r="SCL1" s="84"/>
      <c r="SCM1" s="84"/>
      <c r="SCN1" s="84"/>
      <c r="SCO1" s="84"/>
      <c r="SCP1" s="84"/>
      <c r="SCQ1" s="84"/>
      <c r="SCR1" s="84"/>
      <c r="SCS1" s="84"/>
      <c r="SCT1" s="84"/>
      <c r="SCU1" s="84"/>
      <c r="SCV1" s="84"/>
      <c r="SCW1" s="84"/>
      <c r="SCX1" s="84"/>
      <c r="SCY1" s="84"/>
      <c r="SCZ1" s="84"/>
      <c r="SDA1" s="84"/>
      <c r="SDB1" s="84"/>
      <c r="SDC1" s="84"/>
      <c r="SDD1" s="84"/>
      <c r="SDE1" s="84"/>
      <c r="SDF1" s="84"/>
      <c r="SDG1" s="84"/>
      <c r="SDH1" s="84"/>
      <c r="SDI1" s="84"/>
      <c r="SDJ1" s="84"/>
      <c r="SDK1" s="84"/>
      <c r="SDL1" s="84"/>
      <c r="SDM1" s="84"/>
      <c r="SDN1" s="84"/>
      <c r="SDO1" s="84"/>
      <c r="SDP1" s="84"/>
      <c r="SDQ1" s="84"/>
      <c r="SDR1" s="84"/>
      <c r="SDS1" s="84"/>
      <c r="SDT1" s="84"/>
      <c r="SDU1" s="84"/>
      <c r="SDV1" s="84"/>
      <c r="SDW1" s="84"/>
      <c r="SDX1" s="84"/>
      <c r="SDY1" s="84"/>
      <c r="SDZ1" s="84"/>
      <c r="SEA1" s="84"/>
      <c r="SEB1" s="84"/>
      <c r="SEC1" s="84"/>
      <c r="SED1" s="84"/>
      <c r="SEE1" s="84"/>
      <c r="SEF1" s="84"/>
      <c r="SEG1" s="84"/>
      <c r="SEH1" s="84"/>
      <c r="SEI1" s="84"/>
      <c r="SEJ1" s="84"/>
      <c r="SEK1" s="84"/>
      <c r="SEL1" s="84"/>
      <c r="SEM1" s="84"/>
      <c r="SEN1" s="84"/>
      <c r="SEO1" s="84"/>
      <c r="SEP1" s="84"/>
      <c r="SEQ1" s="84"/>
      <c r="SER1" s="84"/>
      <c r="SES1" s="84"/>
      <c r="SET1" s="84"/>
      <c r="SEU1" s="84"/>
      <c r="SEV1" s="84"/>
      <c r="SEW1" s="84"/>
      <c r="SEX1" s="84"/>
      <c r="SEY1" s="84"/>
      <c r="SEZ1" s="84"/>
      <c r="SFA1" s="84"/>
      <c r="SFB1" s="84"/>
      <c r="SFC1" s="84"/>
      <c r="SFD1" s="84"/>
      <c r="SFE1" s="84"/>
      <c r="SFF1" s="84"/>
      <c r="SFG1" s="84"/>
      <c r="SFH1" s="84"/>
      <c r="SFI1" s="84"/>
      <c r="SFJ1" s="84"/>
      <c r="SFK1" s="84"/>
      <c r="SFL1" s="84"/>
      <c r="SFM1" s="84"/>
      <c r="SFN1" s="84"/>
      <c r="SFO1" s="84"/>
      <c r="SFP1" s="84"/>
      <c r="SFQ1" s="84"/>
      <c r="SFR1" s="84"/>
      <c r="SFS1" s="84"/>
      <c r="SFT1" s="84"/>
      <c r="SFU1" s="84"/>
      <c r="SFV1" s="84"/>
      <c r="SFW1" s="84"/>
      <c r="SFX1" s="84"/>
      <c r="SFY1" s="84"/>
      <c r="SFZ1" s="84"/>
      <c r="SGA1" s="84"/>
      <c r="SGB1" s="84"/>
      <c r="SGC1" s="84"/>
      <c r="SGD1" s="84"/>
      <c r="SGE1" s="84"/>
      <c r="SGF1" s="84"/>
      <c r="SGG1" s="84"/>
      <c r="SGH1" s="84"/>
      <c r="SGI1" s="84"/>
      <c r="SGJ1" s="84"/>
      <c r="SGK1" s="84"/>
      <c r="SGL1" s="84"/>
      <c r="SGM1" s="84"/>
      <c r="SGN1" s="84"/>
      <c r="SGO1" s="84"/>
      <c r="SGP1" s="84"/>
      <c r="SGQ1" s="84"/>
      <c r="SGR1" s="84"/>
      <c r="SGS1" s="84"/>
      <c r="SGT1" s="84"/>
      <c r="SGU1" s="84"/>
      <c r="SGV1" s="84"/>
      <c r="SGW1" s="84"/>
      <c r="SGX1" s="84"/>
      <c r="SGY1" s="84"/>
      <c r="SGZ1" s="84"/>
      <c r="SHA1" s="84"/>
      <c r="SHB1" s="84"/>
      <c r="SHC1" s="84"/>
      <c r="SHD1" s="84"/>
      <c r="SHE1" s="84"/>
      <c r="SHF1" s="84"/>
      <c r="SHG1" s="84"/>
      <c r="SHH1" s="84"/>
      <c r="SHI1" s="84"/>
      <c r="SHJ1" s="84"/>
      <c r="SHK1" s="84"/>
      <c r="SHL1" s="84"/>
      <c r="SHM1" s="84"/>
      <c r="SHN1" s="84"/>
      <c r="SHO1" s="84"/>
      <c r="SHP1" s="84"/>
      <c r="SHQ1" s="84"/>
      <c r="SHR1" s="84"/>
      <c r="SHS1" s="84"/>
      <c r="SHT1" s="84"/>
      <c r="SHU1" s="84"/>
      <c r="SHV1" s="84"/>
      <c r="SHW1" s="84"/>
      <c r="SHX1" s="84"/>
      <c r="SHY1" s="84"/>
      <c r="SHZ1" s="84"/>
      <c r="SIA1" s="84"/>
      <c r="SIB1" s="84"/>
      <c r="SIC1" s="84"/>
      <c r="SID1" s="84"/>
      <c r="SIE1" s="84"/>
      <c r="SIF1" s="84"/>
      <c r="SIG1" s="84"/>
      <c r="SIH1" s="84"/>
      <c r="SII1" s="84"/>
      <c r="SIJ1" s="84"/>
      <c r="SIK1" s="84"/>
      <c r="SIL1" s="84"/>
      <c r="SIM1" s="84"/>
      <c r="SIN1" s="84"/>
      <c r="SIO1" s="84"/>
      <c r="SIP1" s="84"/>
      <c r="SIQ1" s="84"/>
      <c r="SIR1" s="84"/>
      <c r="SIS1" s="84"/>
      <c r="SIT1" s="84"/>
      <c r="SIU1" s="84"/>
      <c r="SIV1" s="84"/>
      <c r="SIW1" s="84"/>
      <c r="SIX1" s="84"/>
      <c r="SIY1" s="84"/>
      <c r="SIZ1" s="84"/>
      <c r="SJA1" s="84"/>
      <c r="SJB1" s="84"/>
      <c r="SJC1" s="84"/>
      <c r="SJD1" s="84"/>
      <c r="SJE1" s="84"/>
      <c r="SJF1" s="84"/>
      <c r="SJG1" s="84"/>
      <c r="SJH1" s="84"/>
      <c r="SJI1" s="84"/>
      <c r="SJJ1" s="84"/>
      <c r="SJK1" s="84"/>
      <c r="SJL1" s="84"/>
      <c r="SJM1" s="84"/>
      <c r="SJN1" s="84"/>
      <c r="SJO1" s="84"/>
      <c r="SJP1" s="84"/>
      <c r="SJQ1" s="84"/>
      <c r="SJR1" s="84"/>
      <c r="SJS1" s="84"/>
      <c r="SJT1" s="84"/>
      <c r="SJU1" s="84"/>
      <c r="SJV1" s="84"/>
      <c r="SJW1" s="84"/>
      <c r="SJX1" s="84"/>
      <c r="SJY1" s="84"/>
      <c r="SJZ1" s="84"/>
      <c r="SKA1" s="84"/>
      <c r="SKB1" s="84"/>
      <c r="SKC1" s="84"/>
      <c r="SKD1" s="84"/>
      <c r="SKE1" s="84"/>
      <c r="SKF1" s="84"/>
      <c r="SKG1" s="84"/>
      <c r="SKH1" s="84"/>
      <c r="SKI1" s="84"/>
      <c r="SKJ1" s="84"/>
      <c r="SKK1" s="84"/>
      <c r="SKL1" s="84"/>
      <c r="SKM1" s="84"/>
      <c r="SKN1" s="84"/>
      <c r="SKO1" s="84"/>
      <c r="SKP1" s="84"/>
      <c r="SKQ1" s="84"/>
      <c r="SKR1" s="84"/>
      <c r="SKS1" s="84"/>
      <c r="SKT1" s="84"/>
      <c r="SKU1" s="84"/>
      <c r="SKV1" s="84"/>
      <c r="SKW1" s="84"/>
      <c r="SKX1" s="84"/>
      <c r="SKY1" s="84"/>
      <c r="SKZ1" s="84"/>
      <c r="SLA1" s="84"/>
      <c r="SLB1" s="84"/>
      <c r="SLC1" s="84"/>
      <c r="SLD1" s="84"/>
      <c r="SLE1" s="84"/>
      <c r="SLF1" s="84"/>
      <c r="SLG1" s="84"/>
      <c r="SLH1" s="84"/>
      <c r="SLI1" s="84"/>
      <c r="SLJ1" s="84"/>
      <c r="SLK1" s="84"/>
      <c r="SLL1" s="84"/>
      <c r="SLM1" s="84"/>
      <c r="SLN1" s="84"/>
      <c r="SLO1" s="84"/>
      <c r="SLP1" s="84"/>
      <c r="SLQ1" s="84"/>
      <c r="SLR1" s="84"/>
      <c r="SLS1" s="84"/>
      <c r="SLT1" s="84"/>
      <c r="SLU1" s="84"/>
      <c r="SLV1" s="84"/>
      <c r="SLW1" s="84"/>
      <c r="SLX1" s="84"/>
      <c r="SLY1" s="84"/>
      <c r="SLZ1" s="84"/>
      <c r="SMA1" s="84"/>
      <c r="SMB1" s="84"/>
      <c r="SMC1" s="84"/>
      <c r="SMD1" s="84"/>
      <c r="SME1" s="84"/>
      <c r="SMF1" s="84"/>
      <c r="SMG1" s="84"/>
      <c r="SMH1" s="84"/>
      <c r="SMI1" s="84"/>
      <c r="SMJ1" s="84"/>
      <c r="SMK1" s="84"/>
      <c r="SML1" s="84"/>
      <c r="SMM1" s="84"/>
      <c r="SMN1" s="84"/>
      <c r="SMO1" s="84"/>
      <c r="SMP1" s="84"/>
      <c r="SMQ1" s="84"/>
      <c r="SMR1" s="84"/>
      <c r="SMS1" s="84"/>
      <c r="SMT1" s="84"/>
      <c r="SMU1" s="84"/>
      <c r="SMV1" s="84"/>
      <c r="SMW1" s="84"/>
      <c r="SMX1" s="84"/>
      <c r="SMY1" s="84"/>
      <c r="SMZ1" s="84"/>
      <c r="SNA1" s="84"/>
      <c r="SNB1" s="84"/>
      <c r="SNC1" s="84"/>
      <c r="SND1" s="84"/>
      <c r="SNE1" s="84"/>
      <c r="SNF1" s="84"/>
      <c r="SNG1" s="84"/>
      <c r="SNH1" s="84"/>
      <c r="SNI1" s="84"/>
      <c r="SNJ1" s="84"/>
      <c r="SNK1" s="84"/>
      <c r="SNL1" s="84"/>
      <c r="SNM1" s="84"/>
      <c r="SNN1" s="84"/>
      <c r="SNO1" s="84"/>
      <c r="SNP1" s="84"/>
      <c r="SNQ1" s="84"/>
      <c r="SNR1" s="84"/>
      <c r="SNS1" s="84"/>
      <c r="SNT1" s="84"/>
      <c r="SNU1" s="84"/>
      <c r="SNV1" s="84"/>
      <c r="SNW1" s="84"/>
      <c r="SNX1" s="84"/>
      <c r="SNY1" s="84"/>
      <c r="SNZ1" s="84"/>
      <c r="SOA1" s="84"/>
      <c r="SOB1" s="84"/>
      <c r="SOC1" s="84"/>
      <c r="SOD1" s="84"/>
      <c r="SOE1" s="84"/>
      <c r="SOF1" s="84"/>
      <c r="SOG1" s="84"/>
      <c r="SOH1" s="84"/>
      <c r="SOI1" s="84"/>
      <c r="SOJ1" s="84"/>
      <c r="SOK1" s="84"/>
      <c r="SOL1" s="84"/>
      <c r="SOM1" s="84"/>
      <c r="SON1" s="84"/>
      <c r="SOO1" s="84"/>
      <c r="SOP1" s="84"/>
      <c r="SOQ1" s="84"/>
      <c r="SOR1" s="84"/>
      <c r="SOS1" s="84"/>
      <c r="SOT1" s="84"/>
      <c r="SOU1" s="84"/>
      <c r="SOV1" s="84"/>
      <c r="SOW1" s="84"/>
      <c r="SOX1" s="84"/>
      <c r="SOY1" s="84"/>
      <c r="SOZ1" s="84"/>
      <c r="SPA1" s="84"/>
      <c r="SPB1" s="84"/>
      <c r="SPC1" s="84"/>
      <c r="SPD1" s="84"/>
      <c r="SPE1" s="84"/>
      <c r="SPF1" s="84"/>
      <c r="SPG1" s="84"/>
      <c r="SPH1" s="84"/>
      <c r="SPI1" s="84"/>
      <c r="SPJ1" s="84"/>
      <c r="SPK1" s="84"/>
      <c r="SPL1" s="84"/>
      <c r="SPM1" s="84"/>
      <c r="SPN1" s="84"/>
      <c r="SPO1" s="84"/>
      <c r="SPP1" s="84"/>
      <c r="SPQ1" s="84"/>
      <c r="SPR1" s="84"/>
      <c r="SPS1" s="84"/>
      <c r="SPT1" s="84"/>
      <c r="SPU1" s="84"/>
      <c r="SPV1" s="84"/>
      <c r="SPW1" s="84"/>
      <c r="SPX1" s="84"/>
      <c r="SPY1" s="84"/>
      <c r="SPZ1" s="84"/>
      <c r="SQA1" s="84"/>
      <c r="SQB1" s="84"/>
      <c r="SQC1" s="84"/>
      <c r="SQD1" s="84"/>
      <c r="SQE1" s="84"/>
      <c r="SQF1" s="84"/>
      <c r="SQG1" s="84"/>
      <c r="SQH1" s="84"/>
      <c r="SQI1" s="84"/>
      <c r="SQJ1" s="84"/>
      <c r="SQK1" s="84"/>
      <c r="SQL1" s="84"/>
      <c r="SQM1" s="84"/>
      <c r="SQN1" s="84"/>
      <c r="SQO1" s="84"/>
      <c r="SQP1" s="84"/>
      <c r="SQQ1" s="84"/>
      <c r="SQR1" s="84"/>
      <c r="SQS1" s="84"/>
      <c r="SQT1" s="84"/>
      <c r="SQU1" s="84"/>
      <c r="SQV1" s="84"/>
      <c r="SQW1" s="84"/>
      <c r="SQX1" s="84"/>
      <c r="SQY1" s="84"/>
      <c r="SQZ1" s="84"/>
      <c r="SRA1" s="84"/>
      <c r="SRB1" s="84"/>
      <c r="SRC1" s="84"/>
      <c r="SRD1" s="84"/>
      <c r="SRE1" s="84"/>
      <c r="SRF1" s="84"/>
      <c r="SRG1" s="84"/>
      <c r="SRH1" s="84"/>
      <c r="SRI1" s="84"/>
      <c r="SRJ1" s="84"/>
      <c r="SRK1" s="84"/>
      <c r="SRL1" s="84"/>
      <c r="SRM1" s="84"/>
      <c r="SRN1" s="84"/>
      <c r="SRO1" s="84"/>
      <c r="SRP1" s="84"/>
      <c r="SRQ1" s="84"/>
      <c r="SRR1" s="84"/>
      <c r="SRS1" s="84"/>
      <c r="SRT1" s="84"/>
      <c r="SRU1" s="84"/>
      <c r="SRV1" s="84"/>
      <c r="SRW1" s="84"/>
      <c r="SRX1" s="84"/>
      <c r="SRY1" s="84"/>
      <c r="SRZ1" s="84"/>
      <c r="SSA1" s="84"/>
      <c r="SSB1" s="84"/>
      <c r="SSC1" s="84"/>
      <c r="SSD1" s="84"/>
      <c r="SSE1" s="84"/>
      <c r="SSF1" s="84"/>
      <c r="SSG1" s="84"/>
      <c r="SSH1" s="84"/>
      <c r="SSI1" s="84"/>
      <c r="SSJ1" s="84"/>
      <c r="SSK1" s="84"/>
      <c r="SSL1" s="84"/>
      <c r="SSM1" s="84"/>
      <c r="SSN1" s="84"/>
      <c r="SSO1" s="84"/>
      <c r="SSP1" s="84"/>
      <c r="SSQ1" s="84"/>
      <c r="SSR1" s="84"/>
      <c r="SSS1" s="84"/>
      <c r="SST1" s="84"/>
      <c r="SSU1" s="84"/>
      <c r="SSV1" s="84"/>
      <c r="SSW1" s="84"/>
      <c r="SSX1" s="84"/>
      <c r="SSY1" s="84"/>
      <c r="SSZ1" s="84"/>
      <c r="STA1" s="84"/>
      <c r="STB1" s="84"/>
      <c r="STC1" s="84"/>
      <c r="STD1" s="84"/>
      <c r="STE1" s="84"/>
      <c r="STF1" s="84"/>
      <c r="STG1" s="84"/>
      <c r="STH1" s="84"/>
      <c r="STI1" s="84"/>
      <c r="STJ1" s="84"/>
      <c r="STK1" s="84"/>
      <c r="STL1" s="84"/>
      <c r="STM1" s="84"/>
      <c r="STN1" s="84"/>
      <c r="STO1" s="84"/>
      <c r="STP1" s="84"/>
      <c r="STQ1" s="84"/>
      <c r="STR1" s="84"/>
      <c r="STS1" s="84"/>
      <c r="STT1" s="84"/>
      <c r="STU1" s="84"/>
      <c r="STV1" s="84"/>
      <c r="STW1" s="84"/>
      <c r="STX1" s="84"/>
      <c r="STY1" s="84"/>
      <c r="STZ1" s="84"/>
      <c r="SUA1" s="84"/>
      <c r="SUB1" s="84"/>
      <c r="SUC1" s="84"/>
      <c r="SUD1" s="84"/>
      <c r="SUE1" s="84"/>
      <c r="SUF1" s="84"/>
      <c r="SUG1" s="84"/>
      <c r="SUH1" s="84"/>
      <c r="SUI1" s="84"/>
      <c r="SUJ1" s="84"/>
      <c r="SUK1" s="84"/>
      <c r="SUL1" s="84"/>
      <c r="SUM1" s="84"/>
      <c r="SUN1" s="84"/>
      <c r="SUO1" s="84"/>
      <c r="SUP1" s="84"/>
      <c r="SUQ1" s="84"/>
      <c r="SUR1" s="84"/>
      <c r="SUS1" s="84"/>
      <c r="SUT1" s="84"/>
      <c r="SUU1" s="84"/>
      <c r="SUV1" s="84"/>
      <c r="SUW1" s="84"/>
      <c r="SUX1" s="84"/>
      <c r="SUY1" s="84"/>
      <c r="SUZ1" s="84"/>
      <c r="SVA1" s="84"/>
      <c r="SVB1" s="84"/>
      <c r="SVC1" s="84"/>
      <c r="SVD1" s="84"/>
      <c r="SVE1" s="84"/>
      <c r="SVF1" s="84"/>
      <c r="SVG1" s="84"/>
      <c r="SVH1" s="84"/>
      <c r="SVI1" s="84"/>
      <c r="SVJ1" s="84"/>
      <c r="SVK1" s="84"/>
      <c r="SVL1" s="84"/>
      <c r="SVM1" s="84"/>
      <c r="SVN1" s="84"/>
      <c r="SVO1" s="84"/>
      <c r="SVP1" s="84"/>
      <c r="SVQ1" s="84"/>
      <c r="SVR1" s="84"/>
      <c r="SVS1" s="84"/>
      <c r="SVT1" s="84"/>
      <c r="SVU1" s="84"/>
      <c r="SVV1" s="84"/>
      <c r="SVW1" s="84"/>
      <c r="SVX1" s="84"/>
      <c r="SVY1" s="84"/>
      <c r="SVZ1" s="84"/>
      <c r="SWA1" s="84"/>
      <c r="SWB1" s="84"/>
      <c r="SWC1" s="84"/>
      <c r="SWD1" s="84"/>
      <c r="SWE1" s="84"/>
      <c r="SWF1" s="84"/>
      <c r="SWG1" s="84"/>
      <c r="SWH1" s="84"/>
      <c r="SWI1" s="84"/>
      <c r="SWJ1" s="84"/>
      <c r="SWK1" s="84"/>
      <c r="SWL1" s="84"/>
      <c r="SWM1" s="84"/>
      <c r="SWN1" s="84"/>
      <c r="SWO1" s="84"/>
      <c r="SWP1" s="84"/>
      <c r="SWQ1" s="84"/>
      <c r="SWR1" s="84"/>
      <c r="SWS1" s="84"/>
      <c r="SWT1" s="84"/>
      <c r="SWU1" s="84"/>
      <c r="SWV1" s="84"/>
      <c r="SWW1" s="84"/>
      <c r="SWX1" s="84"/>
      <c r="SWY1" s="84"/>
      <c r="SWZ1" s="84"/>
      <c r="SXA1" s="84"/>
      <c r="SXB1" s="84"/>
      <c r="SXC1" s="84"/>
      <c r="SXD1" s="84"/>
      <c r="SXE1" s="84"/>
      <c r="SXF1" s="84"/>
      <c r="SXG1" s="84"/>
      <c r="SXH1" s="84"/>
      <c r="SXI1" s="84"/>
      <c r="SXJ1" s="84"/>
      <c r="SXK1" s="84"/>
      <c r="SXL1" s="84"/>
      <c r="SXM1" s="84"/>
      <c r="SXN1" s="84"/>
      <c r="SXO1" s="84"/>
      <c r="SXP1" s="84"/>
      <c r="SXQ1" s="84"/>
      <c r="SXR1" s="84"/>
      <c r="SXS1" s="84"/>
      <c r="SXT1" s="84"/>
      <c r="SXU1" s="84"/>
      <c r="SXV1" s="84"/>
      <c r="SXW1" s="84"/>
      <c r="SXX1" s="84"/>
      <c r="SXY1" s="84"/>
      <c r="SXZ1" s="84"/>
      <c r="SYA1" s="84"/>
      <c r="SYB1" s="84"/>
      <c r="SYC1" s="84"/>
      <c r="SYD1" s="84"/>
      <c r="SYE1" s="84"/>
      <c r="SYF1" s="84"/>
      <c r="SYG1" s="84"/>
      <c r="SYH1" s="84"/>
      <c r="SYI1" s="84"/>
      <c r="SYJ1" s="84"/>
      <c r="SYK1" s="84"/>
      <c r="SYL1" s="84"/>
      <c r="SYM1" s="84"/>
      <c r="SYN1" s="84"/>
      <c r="SYO1" s="84"/>
      <c r="SYP1" s="84"/>
      <c r="SYQ1" s="84"/>
      <c r="SYR1" s="84"/>
      <c r="SYS1" s="84"/>
      <c r="SYT1" s="84"/>
      <c r="SYU1" s="84"/>
      <c r="SYV1" s="84"/>
      <c r="SYW1" s="84"/>
      <c r="SYX1" s="84"/>
      <c r="SYY1" s="84"/>
      <c r="SYZ1" s="84"/>
      <c r="SZA1" s="84"/>
      <c r="SZB1" s="84"/>
      <c r="SZC1" s="84"/>
      <c r="SZD1" s="84"/>
      <c r="SZE1" s="84"/>
      <c r="SZF1" s="84"/>
      <c r="SZG1" s="84"/>
      <c r="SZH1" s="84"/>
      <c r="SZI1" s="84"/>
      <c r="SZJ1" s="84"/>
      <c r="SZK1" s="84"/>
      <c r="SZL1" s="84"/>
      <c r="SZM1" s="84"/>
      <c r="SZN1" s="84"/>
      <c r="SZO1" s="84"/>
      <c r="SZP1" s="84"/>
      <c r="SZQ1" s="84"/>
      <c r="SZR1" s="84"/>
      <c r="SZS1" s="84"/>
      <c r="SZT1" s="84"/>
      <c r="SZU1" s="84"/>
      <c r="SZV1" s="84"/>
      <c r="SZW1" s="84"/>
      <c r="SZX1" s="84"/>
      <c r="SZY1" s="84"/>
      <c r="SZZ1" s="84"/>
      <c r="TAA1" s="84"/>
      <c r="TAB1" s="84"/>
      <c r="TAC1" s="84"/>
      <c r="TAD1" s="84"/>
      <c r="TAE1" s="84"/>
      <c r="TAF1" s="84"/>
      <c r="TAG1" s="84"/>
      <c r="TAH1" s="84"/>
      <c r="TAI1" s="84"/>
      <c r="TAJ1" s="84"/>
      <c r="TAK1" s="84"/>
      <c r="TAL1" s="84"/>
      <c r="TAM1" s="84"/>
      <c r="TAN1" s="84"/>
      <c r="TAO1" s="84"/>
      <c r="TAP1" s="84"/>
      <c r="TAQ1" s="84"/>
      <c r="TAR1" s="84"/>
      <c r="TAS1" s="84"/>
      <c r="TAT1" s="84"/>
      <c r="TAU1" s="84"/>
      <c r="TAV1" s="84"/>
      <c r="TAW1" s="84"/>
      <c r="TAX1" s="84"/>
      <c r="TAY1" s="84"/>
      <c r="TAZ1" s="84"/>
      <c r="TBA1" s="84"/>
      <c r="TBB1" s="84"/>
      <c r="TBC1" s="84"/>
      <c r="TBD1" s="84"/>
      <c r="TBE1" s="84"/>
      <c r="TBF1" s="84"/>
      <c r="TBG1" s="84"/>
      <c r="TBH1" s="84"/>
      <c r="TBI1" s="84"/>
      <c r="TBJ1" s="84"/>
      <c r="TBK1" s="84"/>
      <c r="TBL1" s="84"/>
      <c r="TBM1" s="84"/>
      <c r="TBN1" s="84"/>
      <c r="TBO1" s="84"/>
      <c r="TBP1" s="84"/>
      <c r="TBQ1" s="84"/>
      <c r="TBR1" s="84"/>
      <c r="TBS1" s="84"/>
      <c r="TBT1" s="84"/>
      <c r="TBU1" s="84"/>
      <c r="TBV1" s="84"/>
      <c r="TBW1" s="84"/>
      <c r="TBX1" s="84"/>
      <c r="TBY1" s="84"/>
      <c r="TBZ1" s="84"/>
      <c r="TCA1" s="84"/>
      <c r="TCB1" s="84"/>
      <c r="TCC1" s="84"/>
      <c r="TCD1" s="84"/>
      <c r="TCE1" s="84"/>
      <c r="TCF1" s="84"/>
      <c r="TCG1" s="84"/>
      <c r="TCH1" s="84"/>
      <c r="TCI1" s="84"/>
      <c r="TCJ1" s="84"/>
      <c r="TCK1" s="84"/>
      <c r="TCL1" s="84"/>
      <c r="TCM1" s="84"/>
      <c r="TCN1" s="84"/>
      <c r="TCO1" s="84"/>
      <c r="TCP1" s="84"/>
      <c r="TCQ1" s="84"/>
      <c r="TCR1" s="84"/>
      <c r="TCS1" s="84"/>
      <c r="TCT1" s="84"/>
      <c r="TCU1" s="84"/>
      <c r="TCV1" s="84"/>
      <c r="TCW1" s="84"/>
      <c r="TCX1" s="84"/>
      <c r="TCY1" s="84"/>
      <c r="TCZ1" s="84"/>
      <c r="TDA1" s="84"/>
      <c r="TDB1" s="84"/>
      <c r="TDC1" s="84"/>
      <c r="TDD1" s="84"/>
      <c r="TDE1" s="84"/>
      <c r="TDF1" s="84"/>
      <c r="TDG1" s="84"/>
      <c r="TDH1" s="84"/>
      <c r="TDI1" s="84"/>
      <c r="TDJ1" s="84"/>
      <c r="TDK1" s="84"/>
      <c r="TDL1" s="84"/>
      <c r="TDM1" s="84"/>
      <c r="TDN1" s="84"/>
      <c r="TDO1" s="84"/>
      <c r="TDP1" s="84"/>
      <c r="TDQ1" s="84"/>
      <c r="TDR1" s="84"/>
      <c r="TDS1" s="84"/>
      <c r="TDT1" s="84"/>
      <c r="TDU1" s="84"/>
      <c r="TDV1" s="84"/>
      <c r="TDW1" s="84"/>
      <c r="TDX1" s="84"/>
      <c r="TDY1" s="84"/>
      <c r="TDZ1" s="84"/>
      <c r="TEA1" s="84"/>
      <c r="TEB1" s="84"/>
      <c r="TEC1" s="84"/>
      <c r="TED1" s="84"/>
      <c r="TEE1" s="84"/>
      <c r="TEF1" s="84"/>
      <c r="TEG1" s="84"/>
      <c r="TEH1" s="84"/>
      <c r="TEI1" s="84"/>
      <c r="TEJ1" s="84"/>
      <c r="TEK1" s="84"/>
      <c r="TEL1" s="84"/>
      <c r="TEM1" s="84"/>
      <c r="TEN1" s="84"/>
      <c r="TEO1" s="84"/>
      <c r="TEP1" s="84"/>
      <c r="TEQ1" s="84"/>
      <c r="TER1" s="84"/>
      <c r="TES1" s="84"/>
      <c r="TET1" s="84"/>
      <c r="TEU1" s="84"/>
      <c r="TEV1" s="84"/>
      <c r="TEW1" s="84"/>
      <c r="TEX1" s="84"/>
      <c r="TEY1" s="84"/>
      <c r="TEZ1" s="84"/>
      <c r="TFA1" s="84"/>
      <c r="TFB1" s="84"/>
      <c r="TFC1" s="84"/>
      <c r="TFD1" s="84"/>
      <c r="TFE1" s="84"/>
      <c r="TFF1" s="84"/>
      <c r="TFG1" s="84"/>
      <c r="TFH1" s="84"/>
      <c r="TFI1" s="84"/>
      <c r="TFJ1" s="84"/>
      <c r="TFK1" s="84"/>
      <c r="TFL1" s="84"/>
      <c r="TFM1" s="84"/>
      <c r="TFN1" s="84"/>
      <c r="TFO1" s="84"/>
      <c r="TFP1" s="84"/>
      <c r="TFQ1" s="84"/>
      <c r="TFR1" s="84"/>
      <c r="TFS1" s="84"/>
      <c r="TFT1" s="84"/>
      <c r="TFU1" s="84"/>
      <c r="TFV1" s="84"/>
      <c r="TFW1" s="84"/>
      <c r="TFX1" s="84"/>
      <c r="TFY1" s="84"/>
      <c r="TFZ1" s="84"/>
      <c r="TGA1" s="84"/>
      <c r="TGB1" s="84"/>
      <c r="TGC1" s="84"/>
      <c r="TGD1" s="84"/>
      <c r="TGE1" s="84"/>
      <c r="TGF1" s="84"/>
      <c r="TGG1" s="84"/>
      <c r="TGH1" s="84"/>
      <c r="TGI1" s="84"/>
      <c r="TGJ1" s="84"/>
      <c r="TGK1" s="84"/>
      <c r="TGL1" s="84"/>
      <c r="TGM1" s="84"/>
      <c r="TGN1" s="84"/>
      <c r="TGO1" s="84"/>
      <c r="TGP1" s="84"/>
      <c r="TGQ1" s="84"/>
      <c r="TGR1" s="84"/>
      <c r="TGS1" s="84"/>
      <c r="TGT1" s="84"/>
      <c r="TGU1" s="84"/>
      <c r="TGV1" s="84"/>
      <c r="TGW1" s="84"/>
      <c r="TGX1" s="84"/>
      <c r="TGY1" s="84"/>
      <c r="TGZ1" s="84"/>
      <c r="THA1" s="84"/>
      <c r="THB1" s="84"/>
      <c r="THC1" s="84"/>
      <c r="THD1" s="84"/>
      <c r="THE1" s="84"/>
      <c r="THF1" s="84"/>
      <c r="THG1" s="84"/>
      <c r="THH1" s="84"/>
      <c r="THI1" s="84"/>
      <c r="THJ1" s="84"/>
      <c r="THK1" s="84"/>
      <c r="THL1" s="84"/>
      <c r="THM1" s="84"/>
      <c r="THN1" s="84"/>
      <c r="THO1" s="84"/>
      <c r="THP1" s="84"/>
      <c r="THQ1" s="84"/>
      <c r="THR1" s="84"/>
      <c r="THS1" s="84"/>
      <c r="THT1" s="84"/>
      <c r="THU1" s="84"/>
      <c r="THV1" s="84"/>
      <c r="THW1" s="84"/>
      <c r="THX1" s="84"/>
      <c r="THY1" s="84"/>
      <c r="THZ1" s="84"/>
      <c r="TIA1" s="84"/>
      <c r="TIB1" s="84"/>
      <c r="TIC1" s="84"/>
      <c r="TID1" s="84"/>
      <c r="TIE1" s="84"/>
      <c r="TIF1" s="84"/>
      <c r="TIG1" s="84"/>
      <c r="TIH1" s="84"/>
      <c r="TII1" s="84"/>
      <c r="TIJ1" s="84"/>
      <c r="TIK1" s="84"/>
      <c r="TIL1" s="84"/>
      <c r="TIM1" s="84"/>
      <c r="TIN1" s="84"/>
      <c r="TIO1" s="84"/>
      <c r="TIP1" s="84"/>
      <c r="TIQ1" s="84"/>
      <c r="TIR1" s="84"/>
      <c r="TIS1" s="84"/>
      <c r="TIT1" s="84"/>
      <c r="TIU1" s="84"/>
      <c r="TIV1" s="84"/>
      <c r="TIW1" s="84"/>
      <c r="TIX1" s="84"/>
      <c r="TIY1" s="84"/>
      <c r="TIZ1" s="84"/>
      <c r="TJA1" s="84"/>
      <c r="TJB1" s="84"/>
      <c r="TJC1" s="84"/>
      <c r="TJD1" s="84"/>
      <c r="TJE1" s="84"/>
      <c r="TJF1" s="84"/>
      <c r="TJG1" s="84"/>
      <c r="TJH1" s="84"/>
      <c r="TJI1" s="84"/>
      <c r="TJJ1" s="84"/>
      <c r="TJK1" s="84"/>
      <c r="TJL1" s="84"/>
      <c r="TJM1" s="84"/>
      <c r="TJN1" s="84"/>
      <c r="TJO1" s="84"/>
      <c r="TJP1" s="84"/>
      <c r="TJQ1" s="84"/>
      <c r="TJR1" s="84"/>
      <c r="TJS1" s="84"/>
      <c r="TJT1" s="84"/>
      <c r="TJU1" s="84"/>
      <c r="TJV1" s="84"/>
      <c r="TJW1" s="84"/>
      <c r="TJX1" s="84"/>
      <c r="TJY1" s="84"/>
      <c r="TJZ1" s="84"/>
      <c r="TKA1" s="84"/>
      <c r="TKB1" s="84"/>
      <c r="TKC1" s="84"/>
      <c r="TKD1" s="84"/>
      <c r="TKE1" s="84"/>
      <c r="TKF1" s="84"/>
      <c r="TKG1" s="84"/>
      <c r="TKH1" s="84"/>
      <c r="TKI1" s="84"/>
      <c r="TKJ1" s="84"/>
      <c r="TKK1" s="84"/>
      <c r="TKL1" s="84"/>
      <c r="TKM1" s="84"/>
      <c r="TKN1" s="84"/>
      <c r="TKO1" s="84"/>
      <c r="TKP1" s="84"/>
      <c r="TKQ1" s="84"/>
      <c r="TKR1" s="84"/>
      <c r="TKS1" s="84"/>
      <c r="TKT1" s="84"/>
      <c r="TKU1" s="84"/>
      <c r="TKV1" s="84"/>
      <c r="TKW1" s="84"/>
      <c r="TKX1" s="84"/>
      <c r="TKY1" s="84"/>
      <c r="TKZ1" s="84"/>
      <c r="TLA1" s="84"/>
      <c r="TLB1" s="84"/>
      <c r="TLC1" s="84"/>
      <c r="TLD1" s="84"/>
      <c r="TLE1" s="84"/>
      <c r="TLF1" s="84"/>
      <c r="TLG1" s="84"/>
      <c r="TLH1" s="84"/>
      <c r="TLI1" s="84"/>
      <c r="TLJ1" s="84"/>
      <c r="TLK1" s="84"/>
      <c r="TLL1" s="84"/>
      <c r="TLM1" s="84"/>
      <c r="TLN1" s="84"/>
      <c r="TLO1" s="84"/>
      <c r="TLP1" s="84"/>
      <c r="TLQ1" s="84"/>
      <c r="TLR1" s="84"/>
      <c r="TLS1" s="84"/>
      <c r="TLT1" s="84"/>
      <c r="TLU1" s="84"/>
      <c r="TLV1" s="84"/>
      <c r="TLW1" s="84"/>
      <c r="TLX1" s="84"/>
      <c r="TLY1" s="84"/>
      <c r="TLZ1" s="84"/>
      <c r="TMA1" s="84"/>
      <c r="TMB1" s="84"/>
      <c r="TMC1" s="84"/>
      <c r="TMD1" s="84"/>
      <c r="TME1" s="84"/>
      <c r="TMF1" s="84"/>
      <c r="TMG1" s="84"/>
      <c r="TMH1" s="84"/>
      <c r="TMI1" s="84"/>
      <c r="TMJ1" s="84"/>
      <c r="TMK1" s="84"/>
      <c r="TML1" s="84"/>
      <c r="TMM1" s="84"/>
      <c r="TMN1" s="84"/>
      <c r="TMO1" s="84"/>
      <c r="TMP1" s="84"/>
      <c r="TMQ1" s="84"/>
      <c r="TMR1" s="84"/>
      <c r="TMS1" s="84"/>
      <c r="TMT1" s="84"/>
      <c r="TMU1" s="84"/>
      <c r="TMV1" s="84"/>
      <c r="TMW1" s="84"/>
      <c r="TMX1" s="84"/>
      <c r="TMY1" s="84"/>
      <c r="TMZ1" s="84"/>
      <c r="TNA1" s="84"/>
      <c r="TNB1" s="84"/>
      <c r="TNC1" s="84"/>
      <c r="TND1" s="84"/>
      <c r="TNE1" s="84"/>
      <c r="TNF1" s="84"/>
      <c r="TNG1" s="84"/>
      <c r="TNH1" s="84"/>
      <c r="TNI1" s="84"/>
      <c r="TNJ1" s="84"/>
      <c r="TNK1" s="84"/>
      <c r="TNL1" s="84"/>
      <c r="TNM1" s="84"/>
      <c r="TNN1" s="84"/>
      <c r="TNO1" s="84"/>
      <c r="TNP1" s="84"/>
      <c r="TNQ1" s="84"/>
      <c r="TNR1" s="84"/>
      <c r="TNS1" s="84"/>
      <c r="TNT1" s="84"/>
      <c r="TNU1" s="84"/>
      <c r="TNV1" s="84"/>
      <c r="TNW1" s="84"/>
      <c r="TNX1" s="84"/>
      <c r="TNY1" s="84"/>
      <c r="TNZ1" s="84"/>
      <c r="TOA1" s="84"/>
      <c r="TOB1" s="84"/>
      <c r="TOC1" s="84"/>
      <c r="TOD1" s="84"/>
      <c r="TOE1" s="84"/>
      <c r="TOF1" s="84"/>
      <c r="TOG1" s="84"/>
      <c r="TOH1" s="84"/>
      <c r="TOI1" s="84"/>
      <c r="TOJ1" s="84"/>
      <c r="TOK1" s="84"/>
      <c r="TOL1" s="84"/>
      <c r="TOM1" s="84"/>
      <c r="TON1" s="84"/>
      <c r="TOO1" s="84"/>
      <c r="TOP1" s="84"/>
      <c r="TOQ1" s="84"/>
      <c r="TOR1" s="84"/>
      <c r="TOS1" s="84"/>
      <c r="TOT1" s="84"/>
      <c r="TOU1" s="84"/>
      <c r="TOV1" s="84"/>
      <c r="TOW1" s="84"/>
      <c r="TOX1" s="84"/>
      <c r="TOY1" s="84"/>
      <c r="TOZ1" s="84"/>
      <c r="TPA1" s="84"/>
      <c r="TPB1" s="84"/>
      <c r="TPC1" s="84"/>
      <c r="TPD1" s="84"/>
      <c r="TPE1" s="84"/>
      <c r="TPF1" s="84"/>
      <c r="TPG1" s="84"/>
      <c r="TPH1" s="84"/>
      <c r="TPI1" s="84"/>
      <c r="TPJ1" s="84"/>
      <c r="TPK1" s="84"/>
      <c r="TPL1" s="84"/>
      <c r="TPM1" s="84"/>
      <c r="TPN1" s="84"/>
      <c r="TPO1" s="84"/>
      <c r="TPP1" s="84"/>
      <c r="TPQ1" s="84"/>
      <c r="TPR1" s="84"/>
      <c r="TPS1" s="84"/>
      <c r="TPT1" s="84"/>
      <c r="TPU1" s="84"/>
      <c r="TPV1" s="84"/>
      <c r="TPW1" s="84"/>
      <c r="TPX1" s="84"/>
      <c r="TPY1" s="84"/>
      <c r="TPZ1" s="84"/>
      <c r="TQA1" s="84"/>
      <c r="TQB1" s="84"/>
      <c r="TQC1" s="84"/>
      <c r="TQD1" s="84"/>
      <c r="TQE1" s="84"/>
      <c r="TQF1" s="84"/>
      <c r="TQG1" s="84"/>
      <c r="TQH1" s="84"/>
      <c r="TQI1" s="84"/>
      <c r="TQJ1" s="84"/>
      <c r="TQK1" s="84"/>
      <c r="TQL1" s="84"/>
      <c r="TQM1" s="84"/>
      <c r="TQN1" s="84"/>
      <c r="TQO1" s="84"/>
      <c r="TQP1" s="84"/>
      <c r="TQQ1" s="84"/>
      <c r="TQR1" s="84"/>
      <c r="TQS1" s="84"/>
      <c r="TQT1" s="84"/>
      <c r="TQU1" s="84"/>
      <c r="TQV1" s="84"/>
      <c r="TQW1" s="84"/>
      <c r="TQX1" s="84"/>
      <c r="TQY1" s="84"/>
      <c r="TQZ1" s="84"/>
      <c r="TRA1" s="84"/>
      <c r="TRB1" s="84"/>
      <c r="TRC1" s="84"/>
      <c r="TRD1" s="84"/>
      <c r="TRE1" s="84"/>
      <c r="TRF1" s="84"/>
      <c r="TRG1" s="84"/>
      <c r="TRH1" s="84"/>
      <c r="TRI1" s="84"/>
      <c r="TRJ1" s="84"/>
      <c r="TRK1" s="84"/>
      <c r="TRL1" s="84"/>
      <c r="TRM1" s="84"/>
      <c r="TRN1" s="84"/>
      <c r="TRO1" s="84"/>
      <c r="TRP1" s="84"/>
      <c r="TRQ1" s="84"/>
      <c r="TRR1" s="84"/>
      <c r="TRS1" s="84"/>
      <c r="TRT1" s="84"/>
      <c r="TRU1" s="84"/>
      <c r="TRV1" s="84"/>
      <c r="TRW1" s="84"/>
      <c r="TRX1" s="84"/>
      <c r="TRY1" s="84"/>
      <c r="TRZ1" s="84"/>
      <c r="TSA1" s="84"/>
      <c r="TSB1" s="84"/>
      <c r="TSC1" s="84"/>
      <c r="TSD1" s="84"/>
      <c r="TSE1" s="84"/>
      <c r="TSF1" s="84"/>
      <c r="TSG1" s="84"/>
      <c r="TSH1" s="84"/>
      <c r="TSI1" s="84"/>
      <c r="TSJ1" s="84"/>
      <c r="TSK1" s="84"/>
      <c r="TSL1" s="84"/>
      <c r="TSM1" s="84"/>
      <c r="TSN1" s="84"/>
      <c r="TSO1" s="84"/>
      <c r="TSP1" s="84"/>
      <c r="TSQ1" s="84"/>
      <c r="TSR1" s="84"/>
      <c r="TSS1" s="84"/>
      <c r="TST1" s="84"/>
      <c r="TSU1" s="84"/>
      <c r="TSV1" s="84"/>
      <c r="TSW1" s="84"/>
      <c r="TSX1" s="84"/>
      <c r="TSY1" s="84"/>
      <c r="TSZ1" s="84"/>
      <c r="TTA1" s="84"/>
      <c r="TTB1" s="84"/>
      <c r="TTC1" s="84"/>
      <c r="TTD1" s="84"/>
      <c r="TTE1" s="84"/>
      <c r="TTF1" s="84"/>
      <c r="TTG1" s="84"/>
      <c r="TTH1" s="84"/>
      <c r="TTI1" s="84"/>
      <c r="TTJ1" s="84"/>
      <c r="TTK1" s="84"/>
      <c r="TTL1" s="84"/>
      <c r="TTM1" s="84"/>
      <c r="TTN1" s="84"/>
      <c r="TTO1" s="84"/>
      <c r="TTP1" s="84"/>
      <c r="TTQ1" s="84"/>
      <c r="TTR1" s="84"/>
      <c r="TTS1" s="84"/>
      <c r="TTT1" s="84"/>
      <c r="TTU1" s="84"/>
      <c r="TTV1" s="84"/>
      <c r="TTW1" s="84"/>
      <c r="TTX1" s="84"/>
      <c r="TTY1" s="84"/>
      <c r="TTZ1" s="84"/>
      <c r="TUA1" s="84"/>
      <c r="TUB1" s="84"/>
      <c r="TUC1" s="84"/>
      <c r="TUD1" s="84"/>
      <c r="TUE1" s="84"/>
      <c r="TUF1" s="84"/>
      <c r="TUG1" s="84"/>
      <c r="TUH1" s="84"/>
      <c r="TUI1" s="84"/>
      <c r="TUJ1" s="84"/>
      <c r="TUK1" s="84"/>
      <c r="TUL1" s="84"/>
      <c r="TUM1" s="84"/>
      <c r="TUN1" s="84"/>
      <c r="TUO1" s="84"/>
      <c r="TUP1" s="84"/>
      <c r="TUQ1" s="84"/>
      <c r="TUR1" s="84"/>
      <c r="TUS1" s="84"/>
      <c r="TUT1" s="84"/>
      <c r="TUU1" s="84"/>
      <c r="TUV1" s="84"/>
      <c r="TUW1" s="84"/>
      <c r="TUX1" s="84"/>
      <c r="TUY1" s="84"/>
      <c r="TUZ1" s="84"/>
      <c r="TVA1" s="84"/>
      <c r="TVB1" s="84"/>
      <c r="TVC1" s="84"/>
      <c r="TVD1" s="84"/>
      <c r="TVE1" s="84"/>
      <c r="TVF1" s="84"/>
      <c r="TVG1" s="84"/>
      <c r="TVH1" s="84"/>
      <c r="TVI1" s="84"/>
      <c r="TVJ1" s="84"/>
      <c r="TVK1" s="84"/>
      <c r="TVL1" s="84"/>
      <c r="TVM1" s="84"/>
      <c r="TVN1" s="84"/>
      <c r="TVO1" s="84"/>
      <c r="TVP1" s="84"/>
      <c r="TVQ1" s="84"/>
      <c r="TVR1" s="84"/>
      <c r="TVS1" s="84"/>
      <c r="TVT1" s="84"/>
      <c r="TVU1" s="84"/>
      <c r="TVV1" s="84"/>
      <c r="TVW1" s="84"/>
      <c r="TVX1" s="84"/>
      <c r="TVY1" s="84"/>
      <c r="TVZ1" s="84"/>
      <c r="TWA1" s="84"/>
      <c r="TWB1" s="84"/>
      <c r="TWC1" s="84"/>
      <c r="TWD1" s="84"/>
      <c r="TWE1" s="84"/>
      <c r="TWF1" s="84"/>
      <c r="TWG1" s="84"/>
      <c r="TWH1" s="84"/>
      <c r="TWI1" s="84"/>
      <c r="TWJ1" s="84"/>
      <c r="TWK1" s="84"/>
      <c r="TWL1" s="84"/>
      <c r="TWM1" s="84"/>
      <c r="TWN1" s="84"/>
      <c r="TWO1" s="84"/>
      <c r="TWP1" s="84"/>
      <c r="TWQ1" s="84"/>
      <c r="TWR1" s="84"/>
      <c r="TWS1" s="84"/>
      <c r="TWT1" s="84"/>
      <c r="TWU1" s="84"/>
      <c r="TWV1" s="84"/>
      <c r="TWW1" s="84"/>
      <c r="TWX1" s="84"/>
      <c r="TWY1" s="84"/>
      <c r="TWZ1" s="84"/>
      <c r="TXA1" s="84"/>
      <c r="TXB1" s="84"/>
      <c r="TXC1" s="84"/>
      <c r="TXD1" s="84"/>
      <c r="TXE1" s="84"/>
      <c r="TXF1" s="84"/>
      <c r="TXG1" s="84"/>
      <c r="TXH1" s="84"/>
      <c r="TXI1" s="84"/>
      <c r="TXJ1" s="84"/>
      <c r="TXK1" s="84"/>
      <c r="TXL1" s="84"/>
      <c r="TXM1" s="84"/>
      <c r="TXN1" s="84"/>
      <c r="TXO1" s="84"/>
      <c r="TXP1" s="84"/>
      <c r="TXQ1" s="84"/>
      <c r="TXR1" s="84"/>
      <c r="TXS1" s="84"/>
      <c r="TXT1" s="84"/>
      <c r="TXU1" s="84"/>
      <c r="TXV1" s="84"/>
      <c r="TXW1" s="84"/>
      <c r="TXX1" s="84"/>
      <c r="TXY1" s="84"/>
      <c r="TXZ1" s="84"/>
      <c r="TYA1" s="84"/>
      <c r="TYB1" s="84"/>
      <c r="TYC1" s="84"/>
      <c r="TYD1" s="84"/>
      <c r="TYE1" s="84"/>
      <c r="TYF1" s="84"/>
      <c r="TYG1" s="84"/>
      <c r="TYH1" s="84"/>
      <c r="TYI1" s="84"/>
      <c r="TYJ1" s="84"/>
      <c r="TYK1" s="84"/>
      <c r="TYL1" s="84"/>
      <c r="TYM1" s="84"/>
      <c r="TYN1" s="84"/>
      <c r="TYO1" s="84"/>
      <c r="TYP1" s="84"/>
      <c r="TYQ1" s="84"/>
      <c r="TYR1" s="84"/>
      <c r="TYS1" s="84"/>
      <c r="TYT1" s="84"/>
      <c r="TYU1" s="84"/>
      <c r="TYV1" s="84"/>
      <c r="TYW1" s="84"/>
      <c r="TYX1" s="84"/>
      <c r="TYY1" s="84"/>
      <c r="TYZ1" s="84"/>
      <c r="TZA1" s="84"/>
      <c r="TZB1" s="84"/>
      <c r="TZC1" s="84"/>
      <c r="TZD1" s="84"/>
      <c r="TZE1" s="84"/>
      <c r="TZF1" s="84"/>
      <c r="TZG1" s="84"/>
      <c r="TZH1" s="84"/>
      <c r="TZI1" s="84"/>
      <c r="TZJ1" s="84"/>
      <c r="TZK1" s="84"/>
      <c r="TZL1" s="84"/>
      <c r="TZM1" s="84"/>
      <c r="TZN1" s="84"/>
      <c r="TZO1" s="84"/>
      <c r="TZP1" s="84"/>
      <c r="TZQ1" s="84"/>
      <c r="TZR1" s="84"/>
      <c r="TZS1" s="84"/>
      <c r="TZT1" s="84"/>
      <c r="TZU1" s="84"/>
      <c r="TZV1" s="84"/>
      <c r="TZW1" s="84"/>
      <c r="TZX1" s="84"/>
      <c r="TZY1" s="84"/>
      <c r="TZZ1" s="84"/>
      <c r="UAA1" s="84"/>
      <c r="UAB1" s="84"/>
      <c r="UAC1" s="84"/>
      <c r="UAD1" s="84"/>
      <c r="UAE1" s="84"/>
      <c r="UAF1" s="84"/>
      <c r="UAG1" s="84"/>
      <c r="UAH1" s="84"/>
      <c r="UAI1" s="84"/>
      <c r="UAJ1" s="84"/>
      <c r="UAK1" s="84"/>
      <c r="UAL1" s="84"/>
      <c r="UAM1" s="84"/>
      <c r="UAN1" s="84"/>
      <c r="UAO1" s="84"/>
      <c r="UAP1" s="84"/>
      <c r="UAQ1" s="84"/>
      <c r="UAR1" s="84"/>
      <c r="UAS1" s="84"/>
      <c r="UAT1" s="84"/>
      <c r="UAU1" s="84"/>
      <c r="UAV1" s="84"/>
      <c r="UAW1" s="84"/>
      <c r="UAX1" s="84"/>
      <c r="UAY1" s="84"/>
      <c r="UAZ1" s="84"/>
      <c r="UBA1" s="84"/>
      <c r="UBB1" s="84"/>
      <c r="UBC1" s="84"/>
      <c r="UBD1" s="84"/>
      <c r="UBE1" s="84"/>
      <c r="UBF1" s="84"/>
      <c r="UBG1" s="84"/>
      <c r="UBH1" s="84"/>
      <c r="UBI1" s="84"/>
      <c r="UBJ1" s="84"/>
      <c r="UBK1" s="84"/>
      <c r="UBL1" s="84"/>
      <c r="UBM1" s="84"/>
      <c r="UBN1" s="84"/>
      <c r="UBO1" s="84"/>
      <c r="UBP1" s="84"/>
      <c r="UBQ1" s="84"/>
      <c r="UBR1" s="84"/>
      <c r="UBS1" s="84"/>
      <c r="UBT1" s="84"/>
      <c r="UBU1" s="84"/>
      <c r="UBV1" s="84"/>
      <c r="UBW1" s="84"/>
      <c r="UBX1" s="84"/>
      <c r="UBY1" s="84"/>
      <c r="UBZ1" s="84"/>
      <c r="UCA1" s="84"/>
      <c r="UCB1" s="84"/>
      <c r="UCC1" s="84"/>
      <c r="UCD1" s="84"/>
      <c r="UCE1" s="84"/>
      <c r="UCF1" s="84"/>
      <c r="UCG1" s="84"/>
      <c r="UCH1" s="84"/>
      <c r="UCI1" s="84"/>
      <c r="UCJ1" s="84"/>
      <c r="UCK1" s="84"/>
      <c r="UCL1" s="84"/>
      <c r="UCM1" s="84"/>
      <c r="UCN1" s="84"/>
      <c r="UCO1" s="84"/>
      <c r="UCP1" s="84"/>
      <c r="UCQ1" s="84"/>
      <c r="UCR1" s="84"/>
      <c r="UCS1" s="84"/>
      <c r="UCT1" s="84"/>
      <c r="UCU1" s="84"/>
      <c r="UCV1" s="84"/>
      <c r="UCW1" s="84"/>
      <c r="UCX1" s="84"/>
      <c r="UCY1" s="84"/>
      <c r="UCZ1" s="84"/>
      <c r="UDA1" s="84"/>
      <c r="UDB1" s="84"/>
      <c r="UDC1" s="84"/>
      <c r="UDD1" s="84"/>
      <c r="UDE1" s="84"/>
      <c r="UDF1" s="84"/>
      <c r="UDG1" s="84"/>
      <c r="UDH1" s="84"/>
      <c r="UDI1" s="84"/>
      <c r="UDJ1" s="84"/>
      <c r="UDK1" s="84"/>
      <c r="UDL1" s="84"/>
      <c r="UDM1" s="84"/>
      <c r="UDN1" s="84"/>
      <c r="UDO1" s="84"/>
      <c r="UDP1" s="84"/>
      <c r="UDQ1" s="84"/>
      <c r="UDR1" s="84"/>
      <c r="UDS1" s="84"/>
      <c r="UDT1" s="84"/>
      <c r="UDU1" s="84"/>
      <c r="UDV1" s="84"/>
      <c r="UDW1" s="84"/>
      <c r="UDX1" s="84"/>
      <c r="UDY1" s="84"/>
      <c r="UDZ1" s="84"/>
      <c r="UEA1" s="84"/>
      <c r="UEB1" s="84"/>
      <c r="UEC1" s="84"/>
      <c r="UED1" s="84"/>
      <c r="UEE1" s="84"/>
      <c r="UEF1" s="84"/>
      <c r="UEG1" s="84"/>
      <c r="UEH1" s="84"/>
      <c r="UEI1" s="84"/>
      <c r="UEJ1" s="84"/>
      <c r="UEK1" s="84"/>
      <c r="UEL1" s="84"/>
      <c r="UEM1" s="84"/>
      <c r="UEN1" s="84"/>
      <c r="UEO1" s="84"/>
      <c r="UEP1" s="84"/>
      <c r="UEQ1" s="84"/>
      <c r="UER1" s="84"/>
      <c r="UES1" s="84"/>
      <c r="UET1" s="84"/>
      <c r="UEU1" s="84"/>
      <c r="UEV1" s="84"/>
      <c r="UEW1" s="84"/>
      <c r="UEX1" s="84"/>
      <c r="UEY1" s="84"/>
      <c r="UEZ1" s="84"/>
      <c r="UFA1" s="84"/>
      <c r="UFB1" s="84"/>
      <c r="UFC1" s="84"/>
      <c r="UFD1" s="84"/>
      <c r="UFE1" s="84"/>
      <c r="UFF1" s="84"/>
      <c r="UFG1" s="84"/>
      <c r="UFH1" s="84"/>
      <c r="UFI1" s="84"/>
      <c r="UFJ1" s="84"/>
      <c r="UFK1" s="84"/>
      <c r="UFL1" s="84"/>
      <c r="UFM1" s="84"/>
      <c r="UFN1" s="84"/>
      <c r="UFO1" s="84"/>
      <c r="UFP1" s="84"/>
      <c r="UFQ1" s="84"/>
      <c r="UFR1" s="84"/>
      <c r="UFS1" s="84"/>
      <c r="UFT1" s="84"/>
      <c r="UFU1" s="84"/>
      <c r="UFV1" s="84"/>
      <c r="UFW1" s="84"/>
      <c r="UFX1" s="84"/>
      <c r="UFY1" s="84"/>
      <c r="UFZ1" s="84"/>
      <c r="UGA1" s="84"/>
      <c r="UGB1" s="84"/>
      <c r="UGC1" s="84"/>
      <c r="UGD1" s="84"/>
      <c r="UGE1" s="84"/>
      <c r="UGF1" s="84"/>
      <c r="UGG1" s="84"/>
      <c r="UGH1" s="84"/>
      <c r="UGI1" s="84"/>
      <c r="UGJ1" s="84"/>
      <c r="UGK1" s="84"/>
      <c r="UGL1" s="84"/>
      <c r="UGM1" s="84"/>
      <c r="UGN1" s="84"/>
      <c r="UGO1" s="84"/>
      <c r="UGP1" s="84"/>
      <c r="UGQ1" s="84"/>
      <c r="UGR1" s="84"/>
      <c r="UGS1" s="84"/>
      <c r="UGT1" s="84"/>
      <c r="UGU1" s="84"/>
      <c r="UGV1" s="84"/>
      <c r="UGW1" s="84"/>
      <c r="UGX1" s="84"/>
      <c r="UGY1" s="84"/>
      <c r="UGZ1" s="84"/>
      <c r="UHA1" s="84"/>
      <c r="UHB1" s="84"/>
      <c r="UHC1" s="84"/>
      <c r="UHD1" s="84"/>
      <c r="UHE1" s="84"/>
      <c r="UHF1" s="84"/>
      <c r="UHG1" s="84"/>
      <c r="UHH1" s="84"/>
      <c r="UHI1" s="84"/>
      <c r="UHJ1" s="84"/>
      <c r="UHK1" s="84"/>
      <c r="UHL1" s="84"/>
      <c r="UHM1" s="84"/>
      <c r="UHN1" s="84"/>
      <c r="UHO1" s="84"/>
      <c r="UHP1" s="84"/>
      <c r="UHQ1" s="84"/>
      <c r="UHR1" s="84"/>
      <c r="UHS1" s="84"/>
      <c r="UHT1" s="84"/>
      <c r="UHU1" s="84"/>
      <c r="UHV1" s="84"/>
      <c r="UHW1" s="84"/>
      <c r="UHX1" s="84"/>
      <c r="UHY1" s="84"/>
      <c r="UHZ1" s="84"/>
      <c r="UIA1" s="84"/>
      <c r="UIB1" s="84"/>
      <c r="UIC1" s="84"/>
      <c r="UID1" s="84"/>
      <c r="UIE1" s="84"/>
      <c r="UIF1" s="84"/>
      <c r="UIG1" s="84"/>
      <c r="UIH1" s="84"/>
      <c r="UII1" s="84"/>
      <c r="UIJ1" s="84"/>
      <c r="UIK1" s="84"/>
      <c r="UIL1" s="84"/>
      <c r="UIM1" s="84"/>
      <c r="UIN1" s="84"/>
      <c r="UIO1" s="84"/>
      <c r="UIP1" s="84"/>
      <c r="UIQ1" s="84"/>
      <c r="UIR1" s="84"/>
      <c r="UIS1" s="84"/>
      <c r="UIT1" s="84"/>
      <c r="UIU1" s="84"/>
      <c r="UIV1" s="84"/>
      <c r="UIW1" s="84"/>
      <c r="UIX1" s="84"/>
      <c r="UIY1" s="84"/>
      <c r="UIZ1" s="84"/>
      <c r="UJA1" s="84"/>
      <c r="UJB1" s="84"/>
      <c r="UJC1" s="84"/>
      <c r="UJD1" s="84"/>
      <c r="UJE1" s="84"/>
      <c r="UJF1" s="84"/>
      <c r="UJG1" s="84"/>
      <c r="UJH1" s="84"/>
      <c r="UJI1" s="84"/>
      <c r="UJJ1" s="84"/>
      <c r="UJK1" s="84"/>
      <c r="UJL1" s="84"/>
      <c r="UJM1" s="84"/>
      <c r="UJN1" s="84"/>
      <c r="UJO1" s="84"/>
      <c r="UJP1" s="84"/>
      <c r="UJQ1" s="84"/>
      <c r="UJR1" s="84"/>
      <c r="UJS1" s="84"/>
      <c r="UJT1" s="84"/>
      <c r="UJU1" s="84"/>
      <c r="UJV1" s="84"/>
      <c r="UJW1" s="84"/>
      <c r="UJX1" s="84"/>
      <c r="UJY1" s="84"/>
      <c r="UJZ1" s="84"/>
      <c r="UKA1" s="84"/>
      <c r="UKB1" s="84"/>
      <c r="UKC1" s="84"/>
      <c r="UKD1" s="84"/>
      <c r="UKE1" s="84"/>
      <c r="UKF1" s="84"/>
      <c r="UKG1" s="84"/>
      <c r="UKH1" s="84"/>
      <c r="UKI1" s="84"/>
      <c r="UKJ1" s="84"/>
      <c r="UKK1" s="84"/>
      <c r="UKL1" s="84"/>
      <c r="UKM1" s="84"/>
      <c r="UKN1" s="84"/>
      <c r="UKO1" s="84"/>
      <c r="UKP1" s="84"/>
      <c r="UKQ1" s="84"/>
      <c r="UKR1" s="84"/>
      <c r="UKS1" s="84"/>
      <c r="UKT1" s="84"/>
      <c r="UKU1" s="84"/>
      <c r="UKV1" s="84"/>
      <c r="UKW1" s="84"/>
      <c r="UKX1" s="84"/>
      <c r="UKY1" s="84"/>
      <c r="UKZ1" s="84"/>
      <c r="ULA1" s="84"/>
      <c r="ULB1" s="84"/>
      <c r="ULC1" s="84"/>
      <c r="ULD1" s="84"/>
      <c r="ULE1" s="84"/>
      <c r="ULF1" s="84"/>
      <c r="ULG1" s="84"/>
      <c r="ULH1" s="84"/>
      <c r="ULI1" s="84"/>
      <c r="ULJ1" s="84"/>
      <c r="ULK1" s="84"/>
      <c r="ULL1" s="84"/>
      <c r="ULM1" s="84"/>
      <c r="ULN1" s="84"/>
      <c r="ULO1" s="84"/>
      <c r="ULP1" s="84"/>
      <c r="ULQ1" s="84"/>
      <c r="ULR1" s="84"/>
      <c r="ULS1" s="84"/>
      <c r="ULT1" s="84"/>
      <c r="ULU1" s="84"/>
      <c r="ULV1" s="84"/>
      <c r="ULW1" s="84"/>
      <c r="ULX1" s="84"/>
      <c r="ULY1" s="84"/>
      <c r="ULZ1" s="84"/>
      <c r="UMA1" s="84"/>
      <c r="UMB1" s="84"/>
      <c r="UMC1" s="84"/>
      <c r="UMD1" s="84"/>
      <c r="UME1" s="84"/>
      <c r="UMF1" s="84"/>
      <c r="UMG1" s="84"/>
      <c r="UMH1" s="84"/>
      <c r="UMI1" s="84"/>
      <c r="UMJ1" s="84"/>
      <c r="UMK1" s="84"/>
      <c r="UML1" s="84"/>
      <c r="UMM1" s="84"/>
      <c r="UMN1" s="84"/>
      <c r="UMO1" s="84"/>
      <c r="UMP1" s="84"/>
      <c r="UMQ1" s="84"/>
      <c r="UMR1" s="84"/>
      <c r="UMS1" s="84"/>
      <c r="UMT1" s="84"/>
      <c r="UMU1" s="84"/>
      <c r="UMV1" s="84"/>
      <c r="UMW1" s="84"/>
      <c r="UMX1" s="84"/>
      <c r="UMY1" s="84"/>
      <c r="UMZ1" s="84"/>
      <c r="UNA1" s="84"/>
      <c r="UNB1" s="84"/>
      <c r="UNC1" s="84"/>
      <c r="UND1" s="84"/>
      <c r="UNE1" s="84"/>
      <c r="UNF1" s="84"/>
      <c r="UNG1" s="84"/>
      <c r="UNH1" s="84"/>
      <c r="UNI1" s="84"/>
      <c r="UNJ1" s="84"/>
      <c r="UNK1" s="84"/>
      <c r="UNL1" s="84"/>
      <c r="UNM1" s="84"/>
      <c r="UNN1" s="84"/>
      <c r="UNO1" s="84"/>
      <c r="UNP1" s="84"/>
      <c r="UNQ1" s="84"/>
      <c r="UNR1" s="84"/>
      <c r="UNS1" s="84"/>
      <c r="UNT1" s="84"/>
      <c r="UNU1" s="84"/>
      <c r="UNV1" s="84"/>
      <c r="UNW1" s="84"/>
      <c r="UNX1" s="84"/>
      <c r="UNY1" s="84"/>
      <c r="UNZ1" s="84"/>
      <c r="UOA1" s="84"/>
      <c r="UOB1" s="84"/>
      <c r="UOC1" s="84"/>
      <c r="UOD1" s="84"/>
      <c r="UOE1" s="84"/>
      <c r="UOF1" s="84"/>
      <c r="UOG1" s="84"/>
      <c r="UOH1" s="84"/>
      <c r="UOI1" s="84"/>
      <c r="UOJ1" s="84"/>
      <c r="UOK1" s="84"/>
      <c r="UOL1" s="84"/>
      <c r="UOM1" s="84"/>
      <c r="UON1" s="84"/>
      <c r="UOO1" s="84"/>
      <c r="UOP1" s="84"/>
      <c r="UOQ1" s="84"/>
      <c r="UOR1" s="84"/>
      <c r="UOS1" s="84"/>
      <c r="UOT1" s="84"/>
      <c r="UOU1" s="84"/>
      <c r="UOV1" s="84"/>
      <c r="UOW1" s="84"/>
      <c r="UOX1" s="84"/>
      <c r="UOY1" s="84"/>
      <c r="UOZ1" s="84"/>
      <c r="UPA1" s="84"/>
      <c r="UPB1" s="84"/>
      <c r="UPC1" s="84"/>
      <c r="UPD1" s="84"/>
      <c r="UPE1" s="84"/>
      <c r="UPF1" s="84"/>
      <c r="UPG1" s="84"/>
      <c r="UPH1" s="84"/>
      <c r="UPI1" s="84"/>
      <c r="UPJ1" s="84"/>
      <c r="UPK1" s="84"/>
      <c r="UPL1" s="84"/>
      <c r="UPM1" s="84"/>
      <c r="UPN1" s="84"/>
      <c r="UPO1" s="84"/>
      <c r="UPP1" s="84"/>
      <c r="UPQ1" s="84"/>
      <c r="UPR1" s="84"/>
      <c r="UPS1" s="84"/>
      <c r="UPT1" s="84"/>
      <c r="UPU1" s="84"/>
      <c r="UPV1" s="84"/>
      <c r="UPW1" s="84"/>
      <c r="UPX1" s="84"/>
      <c r="UPY1" s="84"/>
      <c r="UPZ1" s="84"/>
      <c r="UQA1" s="84"/>
      <c r="UQB1" s="84"/>
      <c r="UQC1" s="84"/>
      <c r="UQD1" s="84"/>
      <c r="UQE1" s="84"/>
      <c r="UQF1" s="84"/>
      <c r="UQG1" s="84"/>
      <c r="UQH1" s="84"/>
      <c r="UQI1" s="84"/>
      <c r="UQJ1" s="84"/>
      <c r="UQK1" s="84"/>
      <c r="UQL1" s="84"/>
      <c r="UQM1" s="84"/>
      <c r="UQN1" s="84"/>
      <c r="UQO1" s="84"/>
      <c r="UQP1" s="84"/>
      <c r="UQQ1" s="84"/>
      <c r="UQR1" s="84"/>
      <c r="UQS1" s="84"/>
      <c r="UQT1" s="84"/>
      <c r="UQU1" s="84"/>
      <c r="UQV1" s="84"/>
      <c r="UQW1" s="84"/>
      <c r="UQX1" s="84"/>
      <c r="UQY1" s="84"/>
      <c r="UQZ1" s="84"/>
      <c r="URA1" s="84"/>
      <c r="URB1" s="84"/>
      <c r="URC1" s="84"/>
      <c r="URD1" s="84"/>
      <c r="URE1" s="84"/>
      <c r="URF1" s="84"/>
      <c r="URG1" s="84"/>
      <c r="URH1" s="84"/>
      <c r="URI1" s="84"/>
      <c r="URJ1" s="84"/>
      <c r="URK1" s="84"/>
      <c r="URL1" s="84"/>
      <c r="URM1" s="84"/>
      <c r="URN1" s="84"/>
      <c r="URO1" s="84"/>
      <c r="URP1" s="84"/>
      <c r="URQ1" s="84"/>
      <c r="URR1" s="84"/>
      <c r="URS1" s="84"/>
      <c r="URT1" s="84"/>
      <c r="URU1" s="84"/>
      <c r="URV1" s="84"/>
      <c r="URW1" s="84"/>
      <c r="URX1" s="84"/>
      <c r="URY1" s="84"/>
      <c r="URZ1" s="84"/>
      <c r="USA1" s="84"/>
      <c r="USB1" s="84"/>
      <c r="USC1" s="84"/>
      <c r="USD1" s="84"/>
      <c r="USE1" s="84"/>
      <c r="USF1" s="84"/>
      <c r="USG1" s="84"/>
      <c r="USH1" s="84"/>
      <c r="USI1" s="84"/>
      <c r="USJ1" s="84"/>
      <c r="USK1" s="84"/>
      <c r="USL1" s="84"/>
      <c r="USM1" s="84"/>
      <c r="USN1" s="84"/>
      <c r="USO1" s="84"/>
      <c r="USP1" s="84"/>
      <c r="USQ1" s="84"/>
      <c r="USR1" s="84"/>
      <c r="USS1" s="84"/>
      <c r="UST1" s="84"/>
      <c r="USU1" s="84"/>
      <c r="USV1" s="84"/>
      <c r="USW1" s="84"/>
      <c r="USX1" s="84"/>
      <c r="USY1" s="84"/>
      <c r="USZ1" s="84"/>
      <c r="UTA1" s="84"/>
      <c r="UTB1" s="84"/>
      <c r="UTC1" s="84"/>
      <c r="UTD1" s="84"/>
      <c r="UTE1" s="84"/>
      <c r="UTF1" s="84"/>
      <c r="UTG1" s="84"/>
      <c r="UTH1" s="84"/>
      <c r="UTI1" s="84"/>
      <c r="UTJ1" s="84"/>
      <c r="UTK1" s="84"/>
      <c r="UTL1" s="84"/>
      <c r="UTM1" s="84"/>
      <c r="UTN1" s="84"/>
      <c r="UTO1" s="84"/>
      <c r="UTP1" s="84"/>
      <c r="UTQ1" s="84"/>
      <c r="UTR1" s="84"/>
      <c r="UTS1" s="84"/>
      <c r="UTT1" s="84"/>
      <c r="UTU1" s="84"/>
      <c r="UTV1" s="84"/>
      <c r="UTW1" s="84"/>
      <c r="UTX1" s="84"/>
      <c r="UTY1" s="84"/>
      <c r="UTZ1" s="84"/>
      <c r="UUA1" s="84"/>
      <c r="UUB1" s="84"/>
      <c r="UUC1" s="84"/>
      <c r="UUD1" s="84"/>
      <c r="UUE1" s="84"/>
      <c r="UUF1" s="84"/>
      <c r="UUG1" s="84"/>
      <c r="UUH1" s="84"/>
      <c r="UUI1" s="84"/>
      <c r="UUJ1" s="84"/>
      <c r="UUK1" s="84"/>
      <c r="UUL1" s="84"/>
      <c r="UUM1" s="84"/>
      <c r="UUN1" s="84"/>
      <c r="UUO1" s="84"/>
      <c r="UUP1" s="84"/>
      <c r="UUQ1" s="84"/>
      <c r="UUR1" s="84"/>
      <c r="UUS1" s="84"/>
      <c r="UUT1" s="84"/>
      <c r="UUU1" s="84"/>
      <c r="UUV1" s="84"/>
      <c r="UUW1" s="84"/>
      <c r="UUX1" s="84"/>
      <c r="UUY1" s="84"/>
      <c r="UUZ1" s="84"/>
      <c r="UVA1" s="84"/>
      <c r="UVB1" s="84"/>
      <c r="UVC1" s="84"/>
      <c r="UVD1" s="84"/>
      <c r="UVE1" s="84"/>
      <c r="UVF1" s="84"/>
      <c r="UVG1" s="84"/>
      <c r="UVH1" s="84"/>
      <c r="UVI1" s="84"/>
      <c r="UVJ1" s="84"/>
      <c r="UVK1" s="84"/>
      <c r="UVL1" s="84"/>
      <c r="UVM1" s="84"/>
      <c r="UVN1" s="84"/>
      <c r="UVO1" s="84"/>
      <c r="UVP1" s="84"/>
      <c r="UVQ1" s="84"/>
      <c r="UVR1" s="84"/>
      <c r="UVS1" s="84"/>
      <c r="UVT1" s="84"/>
      <c r="UVU1" s="84"/>
      <c r="UVV1" s="84"/>
      <c r="UVW1" s="84"/>
      <c r="UVX1" s="84"/>
      <c r="UVY1" s="84"/>
      <c r="UVZ1" s="84"/>
      <c r="UWA1" s="84"/>
      <c r="UWB1" s="84"/>
      <c r="UWC1" s="84"/>
      <c r="UWD1" s="84"/>
      <c r="UWE1" s="84"/>
      <c r="UWF1" s="84"/>
      <c r="UWG1" s="84"/>
      <c r="UWH1" s="84"/>
      <c r="UWI1" s="84"/>
      <c r="UWJ1" s="84"/>
      <c r="UWK1" s="84"/>
      <c r="UWL1" s="84"/>
      <c r="UWM1" s="84"/>
      <c r="UWN1" s="84"/>
      <c r="UWO1" s="84"/>
      <c r="UWP1" s="84"/>
      <c r="UWQ1" s="84"/>
      <c r="UWR1" s="84"/>
      <c r="UWS1" s="84"/>
      <c r="UWT1" s="84"/>
      <c r="UWU1" s="84"/>
      <c r="UWV1" s="84"/>
      <c r="UWW1" s="84"/>
      <c r="UWX1" s="84"/>
      <c r="UWY1" s="84"/>
      <c r="UWZ1" s="84"/>
      <c r="UXA1" s="84"/>
      <c r="UXB1" s="84"/>
      <c r="UXC1" s="84"/>
      <c r="UXD1" s="84"/>
      <c r="UXE1" s="84"/>
      <c r="UXF1" s="84"/>
      <c r="UXG1" s="84"/>
      <c r="UXH1" s="84"/>
      <c r="UXI1" s="84"/>
      <c r="UXJ1" s="84"/>
      <c r="UXK1" s="84"/>
      <c r="UXL1" s="84"/>
      <c r="UXM1" s="84"/>
      <c r="UXN1" s="84"/>
      <c r="UXO1" s="84"/>
      <c r="UXP1" s="84"/>
      <c r="UXQ1" s="84"/>
      <c r="UXR1" s="84"/>
      <c r="UXS1" s="84"/>
      <c r="UXT1" s="84"/>
      <c r="UXU1" s="84"/>
      <c r="UXV1" s="84"/>
      <c r="UXW1" s="84"/>
      <c r="UXX1" s="84"/>
      <c r="UXY1" s="84"/>
      <c r="UXZ1" s="84"/>
      <c r="UYA1" s="84"/>
      <c r="UYB1" s="84"/>
      <c r="UYC1" s="84"/>
      <c r="UYD1" s="84"/>
      <c r="UYE1" s="84"/>
      <c r="UYF1" s="84"/>
      <c r="UYG1" s="84"/>
      <c r="UYH1" s="84"/>
      <c r="UYI1" s="84"/>
      <c r="UYJ1" s="84"/>
      <c r="UYK1" s="84"/>
      <c r="UYL1" s="84"/>
      <c r="UYM1" s="84"/>
      <c r="UYN1" s="84"/>
      <c r="UYO1" s="84"/>
      <c r="UYP1" s="84"/>
      <c r="UYQ1" s="84"/>
      <c r="UYR1" s="84"/>
      <c r="UYS1" s="84"/>
      <c r="UYT1" s="84"/>
      <c r="UYU1" s="84"/>
      <c r="UYV1" s="84"/>
      <c r="UYW1" s="84"/>
      <c r="UYX1" s="84"/>
      <c r="UYY1" s="84"/>
      <c r="UYZ1" s="84"/>
      <c r="UZA1" s="84"/>
      <c r="UZB1" s="84"/>
      <c r="UZC1" s="84"/>
      <c r="UZD1" s="84"/>
      <c r="UZE1" s="84"/>
      <c r="UZF1" s="84"/>
      <c r="UZG1" s="84"/>
      <c r="UZH1" s="84"/>
      <c r="UZI1" s="84"/>
      <c r="UZJ1" s="84"/>
      <c r="UZK1" s="84"/>
      <c r="UZL1" s="84"/>
      <c r="UZM1" s="84"/>
      <c r="UZN1" s="84"/>
      <c r="UZO1" s="84"/>
      <c r="UZP1" s="84"/>
      <c r="UZQ1" s="84"/>
      <c r="UZR1" s="84"/>
      <c r="UZS1" s="84"/>
      <c r="UZT1" s="84"/>
      <c r="UZU1" s="84"/>
      <c r="UZV1" s="84"/>
      <c r="UZW1" s="84"/>
      <c r="UZX1" s="84"/>
      <c r="UZY1" s="84"/>
      <c r="UZZ1" s="84"/>
      <c r="VAA1" s="84"/>
      <c r="VAB1" s="84"/>
      <c r="VAC1" s="84"/>
      <c r="VAD1" s="84"/>
      <c r="VAE1" s="84"/>
      <c r="VAF1" s="84"/>
      <c r="VAG1" s="84"/>
      <c r="VAH1" s="84"/>
      <c r="VAI1" s="84"/>
      <c r="VAJ1" s="84"/>
      <c r="VAK1" s="84"/>
      <c r="VAL1" s="84"/>
      <c r="VAM1" s="84"/>
      <c r="VAN1" s="84"/>
      <c r="VAO1" s="84"/>
      <c r="VAP1" s="84"/>
      <c r="VAQ1" s="84"/>
      <c r="VAR1" s="84"/>
      <c r="VAS1" s="84"/>
      <c r="VAT1" s="84"/>
      <c r="VAU1" s="84"/>
      <c r="VAV1" s="84"/>
      <c r="VAW1" s="84"/>
      <c r="VAX1" s="84"/>
      <c r="VAY1" s="84"/>
      <c r="VAZ1" s="84"/>
      <c r="VBA1" s="84"/>
      <c r="VBB1" s="84"/>
      <c r="VBC1" s="84"/>
      <c r="VBD1" s="84"/>
      <c r="VBE1" s="84"/>
      <c r="VBF1" s="84"/>
      <c r="VBG1" s="84"/>
      <c r="VBH1" s="84"/>
      <c r="VBI1" s="84"/>
      <c r="VBJ1" s="84"/>
      <c r="VBK1" s="84"/>
      <c r="VBL1" s="84"/>
      <c r="VBM1" s="84"/>
      <c r="VBN1" s="84"/>
      <c r="VBO1" s="84"/>
      <c r="VBP1" s="84"/>
      <c r="VBQ1" s="84"/>
      <c r="VBR1" s="84"/>
      <c r="VBS1" s="84"/>
      <c r="VBT1" s="84"/>
      <c r="VBU1" s="84"/>
      <c r="VBV1" s="84"/>
      <c r="VBW1" s="84"/>
      <c r="VBX1" s="84"/>
      <c r="VBY1" s="84"/>
      <c r="VBZ1" s="84"/>
      <c r="VCA1" s="84"/>
      <c r="VCB1" s="84"/>
      <c r="VCC1" s="84"/>
      <c r="VCD1" s="84"/>
      <c r="VCE1" s="84"/>
      <c r="VCF1" s="84"/>
      <c r="VCG1" s="84"/>
      <c r="VCH1" s="84"/>
      <c r="VCI1" s="84"/>
      <c r="VCJ1" s="84"/>
      <c r="VCK1" s="84"/>
      <c r="VCL1" s="84"/>
      <c r="VCM1" s="84"/>
      <c r="VCN1" s="84"/>
      <c r="VCO1" s="84"/>
      <c r="VCP1" s="84"/>
      <c r="VCQ1" s="84"/>
      <c r="VCR1" s="84"/>
      <c r="VCS1" s="84"/>
      <c r="VCT1" s="84"/>
      <c r="VCU1" s="84"/>
      <c r="VCV1" s="84"/>
      <c r="VCW1" s="84"/>
      <c r="VCX1" s="84"/>
      <c r="VCY1" s="84"/>
      <c r="VCZ1" s="84"/>
      <c r="VDA1" s="84"/>
      <c r="VDB1" s="84"/>
      <c r="VDC1" s="84"/>
      <c r="VDD1" s="84"/>
      <c r="VDE1" s="84"/>
      <c r="VDF1" s="84"/>
      <c r="VDG1" s="84"/>
      <c r="VDH1" s="84"/>
      <c r="VDI1" s="84"/>
      <c r="VDJ1" s="84"/>
      <c r="VDK1" s="84"/>
      <c r="VDL1" s="84"/>
      <c r="VDM1" s="84"/>
      <c r="VDN1" s="84"/>
      <c r="VDO1" s="84"/>
      <c r="VDP1" s="84"/>
      <c r="VDQ1" s="84"/>
      <c r="VDR1" s="84"/>
      <c r="VDS1" s="84"/>
      <c r="VDT1" s="84"/>
      <c r="VDU1" s="84"/>
      <c r="VDV1" s="84"/>
      <c r="VDW1" s="84"/>
      <c r="VDX1" s="84"/>
      <c r="VDY1" s="84"/>
      <c r="VDZ1" s="84"/>
      <c r="VEA1" s="84"/>
      <c r="VEB1" s="84"/>
      <c r="VEC1" s="84"/>
      <c r="VED1" s="84"/>
      <c r="VEE1" s="84"/>
      <c r="VEF1" s="84"/>
      <c r="VEG1" s="84"/>
      <c r="VEH1" s="84"/>
      <c r="VEI1" s="84"/>
      <c r="VEJ1" s="84"/>
      <c r="VEK1" s="84"/>
      <c r="VEL1" s="84"/>
      <c r="VEM1" s="84"/>
      <c r="VEN1" s="84"/>
      <c r="VEO1" s="84"/>
      <c r="VEP1" s="84"/>
      <c r="VEQ1" s="84"/>
      <c r="VER1" s="84"/>
      <c r="VES1" s="84"/>
      <c r="VET1" s="84"/>
      <c r="VEU1" s="84"/>
      <c r="VEV1" s="84"/>
      <c r="VEW1" s="84"/>
      <c r="VEX1" s="84"/>
      <c r="VEY1" s="84"/>
      <c r="VEZ1" s="84"/>
      <c r="VFA1" s="84"/>
      <c r="VFB1" s="84"/>
      <c r="VFC1" s="84"/>
      <c r="VFD1" s="84"/>
      <c r="VFE1" s="84"/>
      <c r="VFF1" s="84"/>
      <c r="VFG1" s="84"/>
      <c r="VFH1" s="84"/>
      <c r="VFI1" s="84"/>
      <c r="VFJ1" s="84"/>
      <c r="VFK1" s="84"/>
      <c r="VFL1" s="84"/>
      <c r="VFM1" s="84"/>
      <c r="VFN1" s="84"/>
      <c r="VFO1" s="84"/>
      <c r="VFP1" s="84"/>
      <c r="VFQ1" s="84"/>
      <c r="VFR1" s="84"/>
      <c r="VFS1" s="84"/>
      <c r="VFT1" s="84"/>
      <c r="VFU1" s="84"/>
      <c r="VFV1" s="84"/>
      <c r="VFW1" s="84"/>
      <c r="VFX1" s="84"/>
      <c r="VFY1" s="84"/>
      <c r="VFZ1" s="84"/>
      <c r="VGA1" s="84"/>
      <c r="VGB1" s="84"/>
      <c r="VGC1" s="84"/>
      <c r="VGD1" s="84"/>
      <c r="VGE1" s="84"/>
      <c r="VGF1" s="84"/>
      <c r="VGG1" s="84"/>
      <c r="VGH1" s="84"/>
      <c r="VGI1" s="84"/>
      <c r="VGJ1" s="84"/>
      <c r="VGK1" s="84"/>
      <c r="VGL1" s="84"/>
      <c r="VGM1" s="84"/>
      <c r="VGN1" s="84"/>
      <c r="VGO1" s="84"/>
      <c r="VGP1" s="84"/>
      <c r="VGQ1" s="84"/>
      <c r="VGR1" s="84"/>
      <c r="VGS1" s="84"/>
      <c r="VGT1" s="84"/>
      <c r="VGU1" s="84"/>
      <c r="VGV1" s="84"/>
      <c r="VGW1" s="84"/>
      <c r="VGX1" s="84"/>
      <c r="VGY1" s="84"/>
      <c r="VGZ1" s="84"/>
      <c r="VHA1" s="84"/>
      <c r="VHB1" s="84"/>
      <c r="VHC1" s="84"/>
      <c r="VHD1" s="84"/>
      <c r="VHE1" s="84"/>
      <c r="VHF1" s="84"/>
      <c r="VHG1" s="84"/>
      <c r="VHH1" s="84"/>
      <c r="VHI1" s="84"/>
      <c r="VHJ1" s="84"/>
      <c r="VHK1" s="84"/>
      <c r="VHL1" s="84"/>
      <c r="VHM1" s="84"/>
      <c r="VHN1" s="84"/>
      <c r="VHO1" s="84"/>
      <c r="VHP1" s="84"/>
      <c r="VHQ1" s="84"/>
      <c r="VHR1" s="84"/>
      <c r="VHS1" s="84"/>
      <c r="VHT1" s="84"/>
      <c r="VHU1" s="84"/>
      <c r="VHV1" s="84"/>
      <c r="VHW1" s="84"/>
      <c r="VHX1" s="84"/>
      <c r="VHY1" s="84"/>
      <c r="VHZ1" s="84"/>
      <c r="VIA1" s="84"/>
      <c r="VIB1" s="84"/>
      <c r="VIC1" s="84"/>
      <c r="VID1" s="84"/>
      <c r="VIE1" s="84"/>
      <c r="VIF1" s="84"/>
      <c r="VIG1" s="84"/>
      <c r="VIH1" s="84"/>
      <c r="VII1" s="84"/>
      <c r="VIJ1" s="84"/>
      <c r="VIK1" s="84"/>
      <c r="VIL1" s="84"/>
      <c r="VIM1" s="84"/>
      <c r="VIN1" s="84"/>
      <c r="VIO1" s="84"/>
      <c r="VIP1" s="84"/>
      <c r="VIQ1" s="84"/>
      <c r="VIR1" s="84"/>
      <c r="VIS1" s="84"/>
      <c r="VIT1" s="84"/>
      <c r="VIU1" s="84"/>
      <c r="VIV1" s="84"/>
      <c r="VIW1" s="84"/>
      <c r="VIX1" s="84"/>
      <c r="VIY1" s="84"/>
      <c r="VIZ1" s="84"/>
      <c r="VJA1" s="84"/>
      <c r="VJB1" s="84"/>
      <c r="VJC1" s="84"/>
      <c r="VJD1" s="84"/>
      <c r="VJE1" s="84"/>
      <c r="VJF1" s="84"/>
      <c r="VJG1" s="84"/>
      <c r="VJH1" s="84"/>
      <c r="VJI1" s="84"/>
      <c r="VJJ1" s="84"/>
      <c r="VJK1" s="84"/>
      <c r="VJL1" s="84"/>
      <c r="VJM1" s="84"/>
      <c r="VJN1" s="84"/>
      <c r="VJO1" s="84"/>
      <c r="VJP1" s="84"/>
      <c r="VJQ1" s="84"/>
      <c r="VJR1" s="84"/>
      <c r="VJS1" s="84"/>
      <c r="VJT1" s="84"/>
      <c r="VJU1" s="84"/>
      <c r="VJV1" s="84"/>
      <c r="VJW1" s="84"/>
      <c r="VJX1" s="84"/>
      <c r="VJY1" s="84"/>
      <c r="VJZ1" s="84"/>
      <c r="VKA1" s="84"/>
      <c r="VKB1" s="84"/>
      <c r="VKC1" s="84"/>
      <c r="VKD1" s="84"/>
      <c r="VKE1" s="84"/>
      <c r="VKF1" s="84"/>
      <c r="VKG1" s="84"/>
      <c r="VKH1" s="84"/>
      <c r="VKI1" s="84"/>
      <c r="VKJ1" s="84"/>
      <c r="VKK1" s="84"/>
      <c r="VKL1" s="84"/>
      <c r="VKM1" s="84"/>
      <c r="VKN1" s="84"/>
      <c r="VKO1" s="84"/>
      <c r="VKP1" s="84"/>
      <c r="VKQ1" s="84"/>
      <c r="VKR1" s="84"/>
      <c r="VKS1" s="84"/>
      <c r="VKT1" s="84"/>
      <c r="VKU1" s="84"/>
      <c r="VKV1" s="84"/>
      <c r="VKW1" s="84"/>
      <c r="VKX1" s="84"/>
      <c r="VKY1" s="84"/>
      <c r="VKZ1" s="84"/>
      <c r="VLA1" s="84"/>
      <c r="VLB1" s="84"/>
      <c r="VLC1" s="84"/>
      <c r="VLD1" s="84"/>
      <c r="VLE1" s="84"/>
      <c r="VLF1" s="84"/>
      <c r="VLG1" s="84"/>
      <c r="VLH1" s="84"/>
      <c r="VLI1" s="84"/>
      <c r="VLJ1" s="84"/>
      <c r="VLK1" s="84"/>
      <c r="VLL1" s="84"/>
      <c r="VLM1" s="84"/>
      <c r="VLN1" s="84"/>
      <c r="VLO1" s="84"/>
      <c r="VLP1" s="84"/>
      <c r="VLQ1" s="84"/>
      <c r="VLR1" s="84"/>
      <c r="VLS1" s="84"/>
      <c r="VLT1" s="84"/>
      <c r="VLU1" s="84"/>
      <c r="VLV1" s="84"/>
      <c r="VLW1" s="84"/>
      <c r="VLX1" s="84"/>
      <c r="VLY1" s="84"/>
      <c r="VLZ1" s="84"/>
      <c r="VMA1" s="84"/>
      <c r="VMB1" s="84"/>
      <c r="VMC1" s="84"/>
      <c r="VMD1" s="84"/>
      <c r="VME1" s="84"/>
      <c r="VMF1" s="84"/>
      <c r="VMG1" s="84"/>
      <c r="VMH1" s="84"/>
      <c r="VMI1" s="84"/>
      <c r="VMJ1" s="84"/>
      <c r="VMK1" s="84"/>
      <c r="VML1" s="84"/>
      <c r="VMM1" s="84"/>
      <c r="VMN1" s="84"/>
      <c r="VMO1" s="84"/>
      <c r="VMP1" s="84"/>
      <c r="VMQ1" s="84"/>
      <c r="VMR1" s="84"/>
      <c r="VMS1" s="84"/>
      <c r="VMT1" s="84"/>
      <c r="VMU1" s="84"/>
      <c r="VMV1" s="84"/>
      <c r="VMW1" s="84"/>
      <c r="VMX1" s="84"/>
      <c r="VMY1" s="84"/>
      <c r="VMZ1" s="84"/>
      <c r="VNA1" s="84"/>
      <c r="VNB1" s="84"/>
      <c r="VNC1" s="84"/>
      <c r="VND1" s="84"/>
      <c r="VNE1" s="84"/>
      <c r="VNF1" s="84"/>
      <c r="VNG1" s="84"/>
      <c r="VNH1" s="84"/>
      <c r="VNI1" s="84"/>
      <c r="VNJ1" s="84"/>
      <c r="VNK1" s="84"/>
      <c r="VNL1" s="84"/>
      <c r="VNM1" s="84"/>
      <c r="VNN1" s="84"/>
      <c r="VNO1" s="84"/>
      <c r="VNP1" s="84"/>
      <c r="VNQ1" s="84"/>
      <c r="VNR1" s="84"/>
      <c r="VNS1" s="84"/>
      <c r="VNT1" s="84"/>
      <c r="VNU1" s="84"/>
      <c r="VNV1" s="84"/>
      <c r="VNW1" s="84"/>
      <c r="VNX1" s="84"/>
      <c r="VNY1" s="84"/>
      <c r="VNZ1" s="84"/>
      <c r="VOA1" s="84"/>
      <c r="VOB1" s="84"/>
      <c r="VOC1" s="84"/>
      <c r="VOD1" s="84"/>
      <c r="VOE1" s="84"/>
      <c r="VOF1" s="84"/>
      <c r="VOG1" s="84"/>
      <c r="VOH1" s="84"/>
      <c r="VOI1" s="84"/>
      <c r="VOJ1" s="84"/>
      <c r="VOK1" s="84"/>
      <c r="VOL1" s="84"/>
      <c r="VOM1" s="84"/>
      <c r="VON1" s="84"/>
      <c r="VOO1" s="84"/>
      <c r="VOP1" s="84"/>
      <c r="VOQ1" s="84"/>
      <c r="VOR1" s="84"/>
      <c r="VOS1" s="84"/>
      <c r="VOT1" s="84"/>
      <c r="VOU1" s="84"/>
      <c r="VOV1" s="84"/>
      <c r="VOW1" s="84"/>
      <c r="VOX1" s="84"/>
      <c r="VOY1" s="84"/>
      <c r="VOZ1" s="84"/>
      <c r="VPA1" s="84"/>
      <c r="VPB1" s="84"/>
      <c r="VPC1" s="84"/>
      <c r="VPD1" s="84"/>
      <c r="VPE1" s="84"/>
      <c r="VPF1" s="84"/>
      <c r="VPG1" s="84"/>
      <c r="VPH1" s="84"/>
      <c r="VPI1" s="84"/>
      <c r="VPJ1" s="84"/>
      <c r="VPK1" s="84"/>
      <c r="VPL1" s="84"/>
      <c r="VPM1" s="84"/>
      <c r="VPN1" s="84"/>
      <c r="VPO1" s="84"/>
      <c r="VPP1" s="84"/>
      <c r="VPQ1" s="84"/>
      <c r="VPR1" s="84"/>
      <c r="VPS1" s="84"/>
      <c r="VPT1" s="84"/>
      <c r="VPU1" s="84"/>
      <c r="VPV1" s="84"/>
      <c r="VPW1" s="84"/>
      <c r="VPX1" s="84"/>
      <c r="VPY1" s="84"/>
      <c r="VPZ1" s="84"/>
      <c r="VQA1" s="84"/>
      <c r="VQB1" s="84"/>
      <c r="VQC1" s="84"/>
      <c r="VQD1" s="84"/>
      <c r="VQE1" s="84"/>
      <c r="VQF1" s="84"/>
      <c r="VQG1" s="84"/>
      <c r="VQH1" s="84"/>
      <c r="VQI1" s="84"/>
      <c r="VQJ1" s="84"/>
      <c r="VQK1" s="84"/>
      <c r="VQL1" s="84"/>
      <c r="VQM1" s="84"/>
      <c r="VQN1" s="84"/>
      <c r="VQO1" s="84"/>
      <c r="VQP1" s="84"/>
      <c r="VQQ1" s="84"/>
      <c r="VQR1" s="84"/>
      <c r="VQS1" s="84"/>
      <c r="VQT1" s="84"/>
      <c r="VQU1" s="84"/>
      <c r="VQV1" s="84"/>
      <c r="VQW1" s="84"/>
      <c r="VQX1" s="84"/>
      <c r="VQY1" s="84"/>
      <c r="VQZ1" s="84"/>
      <c r="VRA1" s="84"/>
      <c r="VRB1" s="84"/>
      <c r="VRC1" s="84"/>
      <c r="VRD1" s="84"/>
      <c r="VRE1" s="84"/>
      <c r="VRF1" s="84"/>
      <c r="VRG1" s="84"/>
      <c r="VRH1" s="84"/>
      <c r="VRI1" s="84"/>
      <c r="VRJ1" s="84"/>
      <c r="VRK1" s="84"/>
      <c r="VRL1" s="84"/>
      <c r="VRM1" s="84"/>
      <c r="VRN1" s="84"/>
      <c r="VRO1" s="84"/>
      <c r="VRP1" s="84"/>
      <c r="VRQ1" s="84"/>
      <c r="VRR1" s="84"/>
      <c r="VRS1" s="84"/>
      <c r="VRT1" s="84"/>
      <c r="VRU1" s="84"/>
      <c r="VRV1" s="84"/>
      <c r="VRW1" s="84"/>
      <c r="VRX1" s="84"/>
      <c r="VRY1" s="84"/>
      <c r="VRZ1" s="84"/>
      <c r="VSA1" s="84"/>
      <c r="VSB1" s="84"/>
      <c r="VSC1" s="84"/>
      <c r="VSD1" s="84"/>
      <c r="VSE1" s="84"/>
      <c r="VSF1" s="84"/>
      <c r="VSG1" s="84"/>
      <c r="VSH1" s="84"/>
      <c r="VSI1" s="84"/>
      <c r="VSJ1" s="84"/>
      <c r="VSK1" s="84"/>
      <c r="VSL1" s="84"/>
      <c r="VSM1" s="84"/>
      <c r="VSN1" s="84"/>
      <c r="VSO1" s="84"/>
      <c r="VSP1" s="84"/>
      <c r="VSQ1" s="84"/>
      <c r="VSR1" s="84"/>
      <c r="VSS1" s="84"/>
      <c r="VST1" s="84"/>
      <c r="VSU1" s="84"/>
      <c r="VSV1" s="84"/>
      <c r="VSW1" s="84"/>
      <c r="VSX1" s="84"/>
      <c r="VSY1" s="84"/>
      <c r="VSZ1" s="84"/>
      <c r="VTA1" s="84"/>
      <c r="VTB1" s="84"/>
      <c r="VTC1" s="84"/>
      <c r="VTD1" s="84"/>
      <c r="VTE1" s="84"/>
      <c r="VTF1" s="84"/>
      <c r="VTG1" s="84"/>
      <c r="VTH1" s="84"/>
      <c r="VTI1" s="84"/>
      <c r="VTJ1" s="84"/>
      <c r="VTK1" s="84"/>
      <c r="VTL1" s="84"/>
      <c r="VTM1" s="84"/>
      <c r="VTN1" s="84"/>
      <c r="VTO1" s="84"/>
      <c r="VTP1" s="84"/>
      <c r="VTQ1" s="84"/>
      <c r="VTR1" s="84"/>
      <c r="VTS1" s="84"/>
      <c r="VTT1" s="84"/>
      <c r="VTU1" s="84"/>
      <c r="VTV1" s="84"/>
      <c r="VTW1" s="84"/>
      <c r="VTX1" s="84"/>
      <c r="VTY1" s="84"/>
      <c r="VTZ1" s="84"/>
      <c r="VUA1" s="84"/>
      <c r="VUB1" s="84"/>
      <c r="VUC1" s="84"/>
      <c r="VUD1" s="84"/>
      <c r="VUE1" s="84"/>
      <c r="VUF1" s="84"/>
      <c r="VUG1" s="84"/>
      <c r="VUH1" s="84"/>
      <c r="VUI1" s="84"/>
      <c r="VUJ1" s="84"/>
      <c r="VUK1" s="84"/>
      <c r="VUL1" s="84"/>
      <c r="VUM1" s="84"/>
      <c r="VUN1" s="84"/>
      <c r="VUO1" s="84"/>
      <c r="VUP1" s="84"/>
      <c r="VUQ1" s="84"/>
      <c r="VUR1" s="84"/>
      <c r="VUS1" s="84"/>
      <c r="VUT1" s="84"/>
      <c r="VUU1" s="84"/>
      <c r="VUV1" s="84"/>
      <c r="VUW1" s="84"/>
      <c r="VUX1" s="84"/>
      <c r="VUY1" s="84"/>
      <c r="VUZ1" s="84"/>
      <c r="VVA1" s="84"/>
      <c r="VVB1" s="84"/>
      <c r="VVC1" s="84"/>
      <c r="VVD1" s="84"/>
      <c r="VVE1" s="84"/>
      <c r="VVF1" s="84"/>
      <c r="VVG1" s="84"/>
      <c r="VVH1" s="84"/>
      <c r="VVI1" s="84"/>
      <c r="VVJ1" s="84"/>
      <c r="VVK1" s="84"/>
      <c r="VVL1" s="84"/>
      <c r="VVM1" s="84"/>
      <c r="VVN1" s="84"/>
      <c r="VVO1" s="84"/>
      <c r="VVP1" s="84"/>
      <c r="VVQ1" s="84"/>
      <c r="VVR1" s="84"/>
      <c r="VVS1" s="84"/>
      <c r="VVT1" s="84"/>
      <c r="VVU1" s="84"/>
      <c r="VVV1" s="84"/>
      <c r="VVW1" s="84"/>
      <c r="VVX1" s="84"/>
      <c r="VVY1" s="84"/>
      <c r="VVZ1" s="84"/>
      <c r="VWA1" s="84"/>
      <c r="VWB1" s="84"/>
      <c r="VWC1" s="84"/>
      <c r="VWD1" s="84"/>
      <c r="VWE1" s="84"/>
      <c r="VWF1" s="84"/>
      <c r="VWG1" s="84"/>
      <c r="VWH1" s="84"/>
      <c r="VWI1" s="84"/>
      <c r="VWJ1" s="84"/>
      <c r="VWK1" s="84"/>
      <c r="VWL1" s="84"/>
      <c r="VWM1" s="84"/>
      <c r="VWN1" s="84"/>
      <c r="VWO1" s="84"/>
      <c r="VWP1" s="84"/>
      <c r="VWQ1" s="84"/>
      <c r="VWR1" s="84"/>
      <c r="VWS1" s="84"/>
      <c r="VWT1" s="84"/>
      <c r="VWU1" s="84"/>
      <c r="VWV1" s="84"/>
      <c r="VWW1" s="84"/>
      <c r="VWX1" s="84"/>
      <c r="VWY1" s="84"/>
      <c r="VWZ1" s="84"/>
      <c r="VXA1" s="84"/>
      <c r="VXB1" s="84"/>
      <c r="VXC1" s="84"/>
      <c r="VXD1" s="84"/>
      <c r="VXE1" s="84"/>
      <c r="VXF1" s="84"/>
      <c r="VXG1" s="84"/>
      <c r="VXH1" s="84"/>
      <c r="VXI1" s="84"/>
      <c r="VXJ1" s="84"/>
      <c r="VXK1" s="84"/>
      <c r="VXL1" s="84"/>
      <c r="VXM1" s="84"/>
      <c r="VXN1" s="84"/>
      <c r="VXO1" s="84"/>
      <c r="VXP1" s="84"/>
      <c r="VXQ1" s="84"/>
      <c r="VXR1" s="84"/>
      <c r="VXS1" s="84"/>
      <c r="VXT1" s="84"/>
      <c r="VXU1" s="84"/>
      <c r="VXV1" s="84"/>
      <c r="VXW1" s="84"/>
      <c r="VXX1" s="84"/>
      <c r="VXY1" s="84"/>
      <c r="VXZ1" s="84"/>
      <c r="VYA1" s="84"/>
      <c r="VYB1" s="84"/>
      <c r="VYC1" s="84"/>
      <c r="VYD1" s="84"/>
      <c r="VYE1" s="84"/>
      <c r="VYF1" s="84"/>
      <c r="VYG1" s="84"/>
      <c r="VYH1" s="84"/>
      <c r="VYI1" s="84"/>
      <c r="VYJ1" s="84"/>
      <c r="VYK1" s="84"/>
      <c r="VYL1" s="84"/>
      <c r="VYM1" s="84"/>
      <c r="VYN1" s="84"/>
      <c r="VYO1" s="84"/>
      <c r="VYP1" s="84"/>
      <c r="VYQ1" s="84"/>
      <c r="VYR1" s="84"/>
      <c r="VYS1" s="84"/>
      <c r="VYT1" s="84"/>
      <c r="VYU1" s="84"/>
      <c r="VYV1" s="84"/>
      <c r="VYW1" s="84"/>
      <c r="VYX1" s="84"/>
      <c r="VYY1" s="84"/>
      <c r="VYZ1" s="84"/>
      <c r="VZA1" s="84"/>
      <c r="VZB1" s="84"/>
      <c r="VZC1" s="84"/>
      <c r="VZD1" s="84"/>
      <c r="VZE1" s="84"/>
      <c r="VZF1" s="84"/>
      <c r="VZG1" s="84"/>
      <c r="VZH1" s="84"/>
      <c r="VZI1" s="84"/>
      <c r="VZJ1" s="84"/>
      <c r="VZK1" s="84"/>
      <c r="VZL1" s="84"/>
      <c r="VZM1" s="84"/>
      <c r="VZN1" s="84"/>
      <c r="VZO1" s="84"/>
      <c r="VZP1" s="84"/>
      <c r="VZQ1" s="84"/>
      <c r="VZR1" s="84"/>
      <c r="VZS1" s="84"/>
      <c r="VZT1" s="84"/>
      <c r="VZU1" s="84"/>
      <c r="VZV1" s="84"/>
      <c r="VZW1" s="84"/>
      <c r="VZX1" s="84"/>
      <c r="VZY1" s="84"/>
      <c r="VZZ1" s="84"/>
      <c r="WAA1" s="84"/>
      <c r="WAB1" s="84"/>
      <c r="WAC1" s="84"/>
      <c r="WAD1" s="84"/>
      <c r="WAE1" s="84"/>
      <c r="WAF1" s="84"/>
      <c r="WAG1" s="84"/>
      <c r="WAH1" s="84"/>
      <c r="WAI1" s="84"/>
      <c r="WAJ1" s="84"/>
      <c r="WAK1" s="84"/>
      <c r="WAL1" s="84"/>
      <c r="WAM1" s="84"/>
      <c r="WAN1" s="84"/>
      <c r="WAO1" s="84"/>
      <c r="WAP1" s="84"/>
      <c r="WAQ1" s="84"/>
      <c r="WAR1" s="84"/>
      <c r="WAS1" s="84"/>
      <c r="WAT1" s="84"/>
      <c r="WAU1" s="84"/>
      <c r="WAV1" s="84"/>
      <c r="WAW1" s="84"/>
      <c r="WAX1" s="84"/>
      <c r="WAY1" s="84"/>
      <c r="WAZ1" s="84"/>
      <c r="WBA1" s="84"/>
      <c r="WBB1" s="84"/>
      <c r="WBC1" s="84"/>
      <c r="WBD1" s="84"/>
      <c r="WBE1" s="84"/>
      <c r="WBF1" s="84"/>
      <c r="WBG1" s="84"/>
      <c r="WBH1" s="84"/>
      <c r="WBI1" s="84"/>
      <c r="WBJ1" s="84"/>
      <c r="WBK1" s="84"/>
      <c r="WBL1" s="84"/>
      <c r="WBM1" s="84"/>
      <c r="WBN1" s="84"/>
      <c r="WBO1" s="84"/>
      <c r="WBP1" s="84"/>
      <c r="WBQ1" s="84"/>
      <c r="WBR1" s="84"/>
      <c r="WBS1" s="84"/>
      <c r="WBT1" s="84"/>
      <c r="WBU1" s="84"/>
      <c r="WBV1" s="84"/>
      <c r="WBW1" s="84"/>
      <c r="WBX1" s="84"/>
      <c r="WBY1" s="84"/>
      <c r="WBZ1" s="84"/>
      <c r="WCA1" s="84"/>
      <c r="WCB1" s="84"/>
      <c r="WCC1" s="84"/>
      <c r="WCD1" s="84"/>
      <c r="WCE1" s="84"/>
      <c r="WCF1" s="84"/>
      <c r="WCG1" s="84"/>
      <c r="WCH1" s="84"/>
      <c r="WCI1" s="84"/>
      <c r="WCJ1" s="84"/>
      <c r="WCK1" s="84"/>
      <c r="WCL1" s="84"/>
      <c r="WCM1" s="84"/>
      <c r="WCN1" s="84"/>
      <c r="WCO1" s="84"/>
      <c r="WCP1" s="84"/>
      <c r="WCQ1" s="84"/>
      <c r="WCR1" s="84"/>
      <c r="WCS1" s="84"/>
      <c r="WCT1" s="84"/>
      <c r="WCU1" s="84"/>
      <c r="WCV1" s="84"/>
      <c r="WCW1" s="84"/>
      <c r="WCX1" s="84"/>
      <c r="WCY1" s="84"/>
      <c r="WCZ1" s="84"/>
      <c r="WDA1" s="84"/>
      <c r="WDB1" s="84"/>
      <c r="WDC1" s="84"/>
      <c r="WDD1" s="84"/>
      <c r="WDE1" s="84"/>
      <c r="WDF1" s="84"/>
      <c r="WDG1" s="84"/>
      <c r="WDH1" s="84"/>
      <c r="WDI1" s="84"/>
      <c r="WDJ1" s="84"/>
      <c r="WDK1" s="84"/>
      <c r="WDL1" s="84"/>
      <c r="WDM1" s="84"/>
      <c r="WDN1" s="84"/>
      <c r="WDO1" s="84"/>
      <c r="WDP1" s="84"/>
      <c r="WDQ1" s="84"/>
      <c r="WDR1" s="84"/>
      <c r="WDS1" s="84"/>
      <c r="WDT1" s="84"/>
      <c r="WDU1" s="84"/>
      <c r="WDV1" s="84"/>
      <c r="WDW1" s="84"/>
      <c r="WDX1" s="84"/>
      <c r="WDY1" s="84"/>
      <c r="WDZ1" s="84"/>
      <c r="WEA1" s="84"/>
      <c r="WEB1" s="84"/>
      <c r="WEC1" s="84"/>
      <c r="WED1" s="84"/>
      <c r="WEE1" s="84"/>
      <c r="WEF1" s="84"/>
      <c r="WEG1" s="84"/>
      <c r="WEH1" s="84"/>
      <c r="WEI1" s="84"/>
      <c r="WEJ1" s="84"/>
      <c r="WEK1" s="84"/>
      <c r="WEL1" s="84"/>
      <c r="WEM1" s="84"/>
      <c r="WEN1" s="84"/>
      <c r="WEO1" s="84"/>
      <c r="WEP1" s="84"/>
      <c r="WEQ1" s="84"/>
      <c r="WER1" s="84"/>
      <c r="WES1" s="84"/>
      <c r="WET1" s="84"/>
      <c r="WEU1" s="84"/>
      <c r="WEV1" s="84"/>
      <c r="WEW1" s="84"/>
      <c r="WEX1" s="84"/>
      <c r="WEY1" s="84"/>
      <c r="WEZ1" s="84"/>
      <c r="WFA1" s="84"/>
      <c r="WFB1" s="84"/>
      <c r="WFC1" s="84"/>
      <c r="WFD1" s="84"/>
      <c r="WFE1" s="84"/>
      <c r="WFF1" s="84"/>
      <c r="WFG1" s="84"/>
      <c r="WFH1" s="84"/>
      <c r="WFI1" s="84"/>
      <c r="WFJ1" s="84"/>
      <c r="WFK1" s="84"/>
      <c r="WFL1" s="84"/>
      <c r="WFM1" s="84"/>
      <c r="WFN1" s="84"/>
      <c r="WFO1" s="84"/>
      <c r="WFP1" s="84"/>
      <c r="WFQ1" s="84"/>
      <c r="WFR1" s="84"/>
      <c r="WFS1" s="84"/>
      <c r="WFT1" s="84"/>
      <c r="WFU1" s="84"/>
      <c r="WFV1" s="84"/>
      <c r="WFW1" s="84"/>
      <c r="WFX1" s="84"/>
      <c r="WFY1" s="84"/>
      <c r="WFZ1" s="84"/>
      <c r="WGA1" s="84"/>
      <c r="WGB1" s="84"/>
      <c r="WGC1" s="84"/>
      <c r="WGD1" s="84"/>
      <c r="WGE1" s="84"/>
      <c r="WGF1" s="84"/>
      <c r="WGG1" s="84"/>
      <c r="WGH1" s="84"/>
      <c r="WGI1" s="84"/>
      <c r="WGJ1" s="84"/>
      <c r="WGK1" s="84"/>
      <c r="WGL1" s="84"/>
      <c r="WGM1" s="84"/>
      <c r="WGN1" s="84"/>
      <c r="WGO1" s="84"/>
      <c r="WGP1" s="84"/>
      <c r="WGQ1" s="84"/>
      <c r="WGR1" s="84"/>
      <c r="WGS1" s="84"/>
      <c r="WGT1" s="84"/>
      <c r="WGU1" s="84"/>
      <c r="WGV1" s="84"/>
      <c r="WGW1" s="84"/>
      <c r="WGX1" s="84"/>
      <c r="WGY1" s="84"/>
      <c r="WGZ1" s="84"/>
      <c r="WHA1" s="84"/>
      <c r="WHB1" s="84"/>
      <c r="WHC1" s="84"/>
      <c r="WHD1" s="84"/>
      <c r="WHE1" s="84"/>
      <c r="WHF1" s="84"/>
      <c r="WHG1" s="84"/>
      <c r="WHH1" s="84"/>
      <c r="WHI1" s="84"/>
      <c r="WHJ1" s="84"/>
      <c r="WHK1" s="84"/>
      <c r="WHL1" s="84"/>
      <c r="WHM1" s="84"/>
      <c r="WHN1" s="84"/>
      <c r="WHO1" s="84"/>
      <c r="WHP1" s="84"/>
      <c r="WHQ1" s="84"/>
      <c r="WHR1" s="84"/>
      <c r="WHS1" s="84"/>
      <c r="WHT1" s="84"/>
      <c r="WHU1" s="84"/>
      <c r="WHV1" s="84"/>
      <c r="WHW1" s="84"/>
      <c r="WHX1" s="84"/>
      <c r="WHY1" s="84"/>
      <c r="WHZ1" s="84"/>
      <c r="WIA1" s="84"/>
      <c r="WIB1" s="84"/>
      <c r="WIC1" s="84"/>
      <c r="WID1" s="84"/>
      <c r="WIE1" s="84"/>
      <c r="WIF1" s="84"/>
      <c r="WIG1" s="84"/>
      <c r="WIH1" s="84"/>
      <c r="WII1" s="84"/>
      <c r="WIJ1" s="84"/>
      <c r="WIK1" s="84"/>
      <c r="WIL1" s="84"/>
      <c r="WIM1" s="84"/>
      <c r="WIN1" s="84"/>
      <c r="WIO1" s="84"/>
      <c r="WIP1" s="84"/>
      <c r="WIQ1" s="84"/>
      <c r="WIR1" s="84"/>
      <c r="WIS1" s="84"/>
      <c r="WIT1" s="84"/>
      <c r="WIU1" s="84"/>
      <c r="WIV1" s="84"/>
      <c r="WIW1" s="84"/>
      <c r="WIX1" s="84"/>
      <c r="WIY1" s="84"/>
      <c r="WIZ1" s="84"/>
      <c r="WJA1" s="84"/>
      <c r="WJB1" s="84"/>
      <c r="WJC1" s="84"/>
      <c r="WJD1" s="84"/>
      <c r="WJE1" s="84"/>
      <c r="WJF1" s="84"/>
      <c r="WJG1" s="84"/>
      <c r="WJH1" s="84"/>
      <c r="WJI1" s="84"/>
      <c r="WJJ1" s="84"/>
      <c r="WJK1" s="84"/>
      <c r="WJL1" s="84"/>
      <c r="WJM1" s="84"/>
      <c r="WJN1" s="84"/>
      <c r="WJO1" s="84"/>
      <c r="WJP1" s="84"/>
      <c r="WJQ1" s="84"/>
      <c r="WJR1" s="84"/>
      <c r="WJS1" s="84"/>
      <c r="WJT1" s="84"/>
      <c r="WJU1" s="84"/>
      <c r="WJV1" s="84"/>
      <c r="WJW1" s="84"/>
      <c r="WJX1" s="84"/>
      <c r="WJY1" s="84"/>
      <c r="WJZ1" s="84"/>
      <c r="WKA1" s="84"/>
      <c r="WKB1" s="84"/>
      <c r="WKC1" s="84"/>
      <c r="WKD1" s="84"/>
      <c r="WKE1" s="84"/>
      <c r="WKF1" s="84"/>
      <c r="WKG1" s="84"/>
      <c r="WKH1" s="84"/>
      <c r="WKI1" s="84"/>
      <c r="WKJ1" s="84"/>
      <c r="WKK1" s="84"/>
      <c r="WKL1" s="84"/>
      <c r="WKM1" s="84"/>
      <c r="WKN1" s="84"/>
      <c r="WKO1" s="84"/>
      <c r="WKP1" s="84"/>
      <c r="WKQ1" s="84"/>
      <c r="WKR1" s="84"/>
      <c r="WKS1" s="84"/>
      <c r="WKT1" s="84"/>
      <c r="WKU1" s="84"/>
      <c r="WKV1" s="84"/>
      <c r="WKW1" s="84"/>
      <c r="WKX1" s="84"/>
      <c r="WKY1" s="84"/>
      <c r="WKZ1" s="84"/>
      <c r="WLA1" s="84"/>
      <c r="WLB1" s="84"/>
      <c r="WLC1" s="84"/>
      <c r="WLD1" s="84"/>
      <c r="WLE1" s="84"/>
      <c r="WLF1" s="84"/>
      <c r="WLG1" s="84"/>
      <c r="WLH1" s="84"/>
      <c r="WLI1" s="84"/>
      <c r="WLJ1" s="84"/>
      <c r="WLK1" s="84"/>
      <c r="WLL1" s="84"/>
      <c r="WLM1" s="84"/>
      <c r="WLN1" s="84"/>
      <c r="WLO1" s="84"/>
      <c r="WLP1" s="84"/>
      <c r="WLQ1" s="84"/>
      <c r="WLR1" s="84"/>
      <c r="WLS1" s="84"/>
      <c r="WLT1" s="84"/>
      <c r="WLU1" s="84"/>
      <c r="WLV1" s="84"/>
      <c r="WLW1" s="84"/>
      <c r="WLX1" s="84"/>
      <c r="WLY1" s="84"/>
      <c r="WLZ1" s="84"/>
      <c r="WMA1" s="84"/>
      <c r="WMB1" s="84"/>
      <c r="WMC1" s="84"/>
      <c r="WMD1" s="84"/>
      <c r="WME1" s="84"/>
      <c r="WMF1" s="84"/>
      <c r="WMG1" s="84"/>
      <c r="WMH1" s="84"/>
      <c r="WMI1" s="84"/>
      <c r="WMJ1" s="84"/>
      <c r="WMK1" s="84"/>
      <c r="WML1" s="84"/>
      <c r="WMM1" s="84"/>
      <c r="WMN1" s="84"/>
      <c r="WMO1" s="84"/>
      <c r="WMP1" s="84"/>
      <c r="WMQ1" s="84"/>
      <c r="WMR1" s="84"/>
      <c r="WMS1" s="84"/>
      <c r="WMT1" s="84"/>
      <c r="WMU1" s="84"/>
      <c r="WMV1" s="84"/>
      <c r="WMW1" s="84"/>
      <c r="WMX1" s="84"/>
      <c r="WMY1" s="84"/>
      <c r="WMZ1" s="84"/>
      <c r="WNA1" s="84"/>
      <c r="WNB1" s="84"/>
      <c r="WNC1" s="84"/>
      <c r="WND1" s="84"/>
      <c r="WNE1" s="84"/>
      <c r="WNF1" s="84"/>
      <c r="WNG1" s="84"/>
      <c r="WNH1" s="84"/>
      <c r="WNI1" s="84"/>
      <c r="WNJ1" s="84"/>
      <c r="WNK1" s="84"/>
      <c r="WNL1" s="84"/>
      <c r="WNM1" s="84"/>
      <c r="WNN1" s="84"/>
      <c r="WNO1" s="84"/>
      <c r="WNP1" s="84"/>
      <c r="WNQ1" s="84"/>
      <c r="WNR1" s="84"/>
      <c r="WNS1" s="84"/>
      <c r="WNT1" s="84"/>
      <c r="WNU1" s="84"/>
      <c r="WNV1" s="84"/>
      <c r="WNW1" s="84"/>
      <c r="WNX1" s="84"/>
      <c r="WNY1" s="84"/>
      <c r="WNZ1" s="84"/>
      <c r="WOA1" s="84"/>
      <c r="WOB1" s="84"/>
      <c r="WOC1" s="84"/>
      <c r="WOD1" s="84"/>
      <c r="WOE1" s="84"/>
      <c r="WOF1" s="84"/>
      <c r="WOG1" s="84"/>
      <c r="WOH1" s="84"/>
      <c r="WOI1" s="84"/>
      <c r="WOJ1" s="84"/>
      <c r="WOK1" s="84"/>
      <c r="WOL1" s="84"/>
      <c r="WOM1" s="84"/>
      <c r="WON1" s="84"/>
      <c r="WOO1" s="84"/>
      <c r="WOP1" s="84"/>
      <c r="WOQ1" s="84"/>
      <c r="WOR1" s="84"/>
      <c r="WOS1" s="84"/>
      <c r="WOT1" s="84"/>
      <c r="WOU1" s="84"/>
      <c r="WOV1" s="84"/>
      <c r="WOW1" s="84"/>
      <c r="WOX1" s="84"/>
      <c r="WOY1" s="84"/>
      <c r="WOZ1" s="84"/>
      <c r="WPA1" s="84"/>
      <c r="WPB1" s="84"/>
      <c r="WPC1" s="84"/>
      <c r="WPD1" s="84"/>
      <c r="WPE1" s="84"/>
      <c r="WPF1" s="84"/>
      <c r="WPG1" s="84"/>
      <c r="WPH1" s="84"/>
      <c r="WPI1" s="84"/>
      <c r="WPJ1" s="84"/>
      <c r="WPK1" s="84"/>
      <c r="WPL1" s="84"/>
      <c r="WPM1" s="84"/>
      <c r="WPN1" s="84"/>
      <c r="WPO1" s="84"/>
      <c r="WPP1" s="84"/>
      <c r="WPQ1" s="84"/>
      <c r="WPR1" s="84"/>
      <c r="WPS1" s="84"/>
      <c r="WPT1" s="84"/>
      <c r="WPU1" s="84"/>
      <c r="WPV1" s="84"/>
      <c r="WPW1" s="84"/>
      <c r="WPX1" s="84"/>
      <c r="WPY1" s="84"/>
      <c r="WPZ1" s="84"/>
      <c r="WQA1" s="84"/>
      <c r="WQB1" s="84"/>
      <c r="WQC1" s="84"/>
      <c r="WQD1" s="84"/>
      <c r="WQE1" s="84"/>
      <c r="WQF1" s="84"/>
      <c r="WQG1" s="84"/>
      <c r="WQH1" s="84"/>
      <c r="WQI1" s="84"/>
      <c r="WQJ1" s="84"/>
      <c r="WQK1" s="84"/>
      <c r="WQL1" s="84"/>
      <c r="WQM1" s="84"/>
      <c r="WQN1" s="84"/>
      <c r="WQO1" s="84"/>
      <c r="WQP1" s="84"/>
      <c r="WQQ1" s="84"/>
      <c r="WQR1" s="84"/>
      <c r="WQS1" s="84"/>
      <c r="WQT1" s="84"/>
      <c r="WQU1" s="84"/>
      <c r="WQV1" s="84"/>
      <c r="WQW1" s="84"/>
      <c r="WQX1" s="84"/>
      <c r="WQY1" s="84"/>
      <c r="WQZ1" s="84"/>
      <c r="WRA1" s="84"/>
      <c r="WRB1" s="84"/>
      <c r="WRC1" s="84"/>
      <c r="WRD1" s="84"/>
      <c r="WRE1" s="84"/>
      <c r="WRF1" s="84"/>
      <c r="WRG1" s="84"/>
      <c r="WRH1" s="84"/>
      <c r="WRI1" s="84"/>
      <c r="WRJ1" s="84"/>
      <c r="WRK1" s="84"/>
      <c r="WRL1" s="84"/>
      <c r="WRM1" s="84"/>
      <c r="WRN1" s="84"/>
      <c r="WRO1" s="84"/>
      <c r="WRP1" s="84"/>
      <c r="WRQ1" s="84"/>
      <c r="WRR1" s="84"/>
      <c r="WRS1" s="84"/>
      <c r="WRT1" s="84"/>
      <c r="WRU1" s="84"/>
      <c r="WRV1" s="84"/>
      <c r="WRW1" s="84"/>
      <c r="WRX1" s="84"/>
      <c r="WRY1" s="84"/>
      <c r="WRZ1" s="84"/>
      <c r="WSA1" s="84"/>
      <c r="WSB1" s="84"/>
      <c r="WSC1" s="84"/>
      <c r="WSD1" s="84"/>
      <c r="WSE1" s="84"/>
      <c r="WSF1" s="84"/>
      <c r="WSG1" s="84"/>
      <c r="WSH1" s="84"/>
      <c r="WSI1" s="84"/>
      <c r="WSJ1" s="84"/>
      <c r="WSK1" s="84"/>
      <c r="WSL1" s="84"/>
      <c r="WSM1" s="84"/>
      <c r="WSN1" s="84"/>
      <c r="WSO1" s="84"/>
      <c r="WSP1" s="84"/>
      <c r="WSQ1" s="84"/>
      <c r="WSR1" s="84"/>
      <c r="WSS1" s="84"/>
      <c r="WST1" s="84"/>
      <c r="WSU1" s="84"/>
      <c r="WSV1" s="84"/>
      <c r="WSW1" s="84"/>
      <c r="WSX1" s="84"/>
      <c r="WSY1" s="84"/>
      <c r="WSZ1" s="84"/>
      <c r="WTA1" s="84"/>
      <c r="WTB1" s="84"/>
      <c r="WTC1" s="84"/>
      <c r="WTD1" s="84"/>
      <c r="WTE1" s="84"/>
      <c r="WTF1" s="84"/>
      <c r="WTG1" s="84"/>
      <c r="WTH1" s="84"/>
      <c r="WTI1" s="84"/>
      <c r="WTJ1" s="84"/>
      <c r="WTK1" s="84"/>
      <c r="WTL1" s="84"/>
      <c r="WTM1" s="84"/>
      <c r="WTN1" s="84"/>
      <c r="WTO1" s="84"/>
      <c r="WTP1" s="84"/>
      <c r="WTQ1" s="84"/>
      <c r="WTR1" s="84"/>
      <c r="WTS1" s="84"/>
      <c r="WTT1" s="84"/>
      <c r="WTU1" s="84"/>
      <c r="WTV1" s="84"/>
      <c r="WTW1" s="84"/>
      <c r="WTX1" s="84"/>
      <c r="WTY1" s="84"/>
      <c r="WTZ1" s="84"/>
      <c r="WUA1" s="84"/>
      <c r="WUB1" s="84"/>
      <c r="WUC1" s="84"/>
      <c r="WUD1" s="84"/>
      <c r="WUE1" s="84"/>
      <c r="WUF1" s="84"/>
      <c r="WUG1" s="84"/>
      <c r="WUH1" s="84"/>
      <c r="WUI1" s="84"/>
      <c r="WUJ1" s="84"/>
      <c r="WUK1" s="84"/>
      <c r="WUL1" s="84"/>
      <c r="WUM1" s="84"/>
      <c r="WUN1" s="84"/>
      <c r="WUO1" s="84"/>
      <c r="WUP1" s="84"/>
      <c r="WUQ1" s="84"/>
      <c r="WUR1" s="84"/>
      <c r="WUS1" s="84"/>
      <c r="WUT1" s="84"/>
      <c r="WUU1" s="84"/>
      <c r="WUV1" s="84"/>
      <c r="WUW1" s="84"/>
      <c r="WUX1" s="84"/>
      <c r="WUY1" s="84"/>
      <c r="WUZ1" s="84"/>
      <c r="WVA1" s="84"/>
      <c r="WVB1" s="84"/>
      <c r="WVC1" s="84"/>
      <c r="WVD1" s="84"/>
      <c r="WVE1" s="84"/>
      <c r="WVF1" s="84"/>
      <c r="WVG1" s="84"/>
      <c r="WVH1" s="84"/>
      <c r="WVI1" s="84"/>
      <c r="WVJ1" s="84"/>
      <c r="WVK1" s="84"/>
      <c r="WVL1" s="84"/>
      <c r="WVM1" s="84"/>
      <c r="WVN1" s="84"/>
      <c r="WVO1" s="84"/>
      <c r="WVP1" s="84"/>
      <c r="WVQ1" s="84"/>
      <c r="WVR1" s="84"/>
      <c r="WVS1" s="84"/>
      <c r="WVT1" s="84"/>
      <c r="WVU1" s="84"/>
      <c r="WVV1" s="84"/>
      <c r="WVW1" s="84"/>
      <c r="WVX1" s="84"/>
      <c r="WVY1" s="84"/>
      <c r="WVZ1" s="84"/>
      <c r="WWA1" s="84"/>
      <c r="WWB1" s="84"/>
      <c r="WWC1" s="84"/>
      <c r="WWD1" s="84"/>
      <c r="WWE1" s="84"/>
      <c r="WWF1" s="84"/>
      <c r="WWG1" s="84"/>
      <c r="WWH1" s="84"/>
      <c r="WWI1" s="84"/>
      <c r="WWJ1" s="84"/>
      <c r="WWK1" s="84"/>
      <c r="WWL1" s="84"/>
      <c r="WWM1" s="84"/>
      <c r="WWN1" s="84"/>
      <c r="WWO1" s="84"/>
      <c r="WWP1" s="84"/>
      <c r="WWQ1" s="84"/>
      <c r="WWR1" s="84"/>
      <c r="WWS1" s="84"/>
      <c r="WWT1" s="84"/>
      <c r="WWU1" s="84"/>
      <c r="WWV1" s="84"/>
      <c r="WWW1" s="84"/>
      <c r="WWX1" s="84"/>
      <c r="WWY1" s="84"/>
      <c r="WWZ1" s="84"/>
      <c r="WXA1" s="84"/>
      <c r="WXB1" s="84"/>
      <c r="WXC1" s="84"/>
      <c r="WXD1" s="84"/>
      <c r="WXE1" s="84"/>
      <c r="WXF1" s="84"/>
      <c r="WXG1" s="84"/>
      <c r="WXH1" s="84"/>
      <c r="WXI1" s="84"/>
      <c r="WXJ1" s="84"/>
      <c r="WXK1" s="84"/>
      <c r="WXL1" s="84"/>
      <c r="WXM1" s="84"/>
      <c r="WXN1" s="84"/>
      <c r="WXO1" s="84"/>
      <c r="WXP1" s="84"/>
      <c r="WXQ1" s="84"/>
      <c r="WXR1" s="84"/>
      <c r="WXS1" s="84"/>
      <c r="WXT1" s="84"/>
      <c r="WXU1" s="84"/>
      <c r="WXV1" s="84"/>
      <c r="WXW1" s="84"/>
      <c r="WXX1" s="84"/>
      <c r="WXY1" s="84"/>
      <c r="WXZ1" s="84"/>
      <c r="WYA1" s="84"/>
      <c r="WYB1" s="84"/>
      <c r="WYC1" s="84"/>
      <c r="WYD1" s="84"/>
      <c r="WYE1" s="84"/>
      <c r="WYF1" s="84"/>
      <c r="WYG1" s="84"/>
      <c r="WYH1" s="84"/>
      <c r="WYI1" s="84"/>
      <c r="WYJ1" s="84"/>
      <c r="WYK1" s="84"/>
      <c r="WYL1" s="84"/>
      <c r="WYM1" s="84"/>
      <c r="WYN1" s="84"/>
      <c r="WYO1" s="84"/>
      <c r="WYP1" s="84"/>
      <c r="WYQ1" s="84"/>
      <c r="WYR1" s="84"/>
      <c r="WYS1" s="84"/>
      <c r="WYT1" s="84"/>
      <c r="WYU1" s="84"/>
      <c r="WYV1" s="84"/>
      <c r="WYW1" s="84"/>
      <c r="WYX1" s="84"/>
      <c r="WYY1" s="84"/>
      <c r="WYZ1" s="84"/>
      <c r="WZA1" s="84"/>
      <c r="WZB1" s="84"/>
      <c r="WZC1" s="84"/>
      <c r="WZD1" s="84"/>
      <c r="WZE1" s="84"/>
      <c r="WZF1" s="84"/>
      <c r="WZG1" s="84"/>
      <c r="WZH1" s="84"/>
      <c r="WZI1" s="84"/>
      <c r="WZJ1" s="84"/>
      <c r="WZK1" s="84"/>
      <c r="WZL1" s="84"/>
      <c r="WZM1" s="84"/>
      <c r="WZN1" s="84"/>
      <c r="WZO1" s="84"/>
      <c r="WZP1" s="84"/>
      <c r="WZQ1" s="84"/>
      <c r="WZR1" s="84"/>
      <c r="WZS1" s="84"/>
      <c r="WZT1" s="84"/>
      <c r="WZU1" s="84"/>
      <c r="WZV1" s="84"/>
      <c r="WZW1" s="84"/>
      <c r="WZX1" s="84"/>
      <c r="WZY1" s="84"/>
      <c r="WZZ1" s="84"/>
      <c r="XAA1" s="84"/>
      <c r="XAB1" s="84"/>
      <c r="XAC1" s="84"/>
      <c r="XAD1" s="84"/>
      <c r="XAE1" s="84"/>
      <c r="XAF1" s="84"/>
      <c r="XAG1" s="84"/>
      <c r="XAH1" s="84"/>
      <c r="XAI1" s="84"/>
      <c r="XAJ1" s="84"/>
      <c r="XAK1" s="84"/>
      <c r="XAL1" s="84"/>
      <c r="XAM1" s="84"/>
      <c r="XAN1" s="84"/>
      <c r="XAO1" s="84"/>
      <c r="XAP1" s="84"/>
      <c r="XAQ1" s="84"/>
      <c r="XAR1" s="84"/>
      <c r="XAS1" s="84"/>
      <c r="XAT1" s="84"/>
      <c r="XAU1" s="84"/>
      <c r="XAV1" s="84"/>
      <c r="XAW1" s="84"/>
      <c r="XAX1" s="84"/>
      <c r="XAY1" s="84"/>
      <c r="XAZ1" s="84"/>
      <c r="XBA1" s="84"/>
      <c r="XBB1" s="84"/>
      <c r="XBC1" s="84"/>
      <c r="XBD1" s="84"/>
      <c r="XBE1" s="84"/>
      <c r="XBF1" s="84"/>
      <c r="XBG1" s="84"/>
      <c r="XBH1" s="84"/>
      <c r="XBI1" s="84"/>
      <c r="XBJ1" s="84"/>
      <c r="XBK1" s="84"/>
      <c r="XBL1" s="84"/>
      <c r="XBM1" s="84"/>
      <c r="XBN1" s="84"/>
      <c r="XBO1" s="84"/>
      <c r="XBP1" s="84"/>
      <c r="XBQ1" s="84"/>
      <c r="XBR1" s="84"/>
      <c r="XBS1" s="84"/>
      <c r="XBT1" s="84"/>
      <c r="XBU1" s="84"/>
      <c r="XBV1" s="84"/>
      <c r="XBW1" s="84"/>
      <c r="XBX1" s="84"/>
      <c r="XBY1" s="84"/>
      <c r="XBZ1" s="84"/>
      <c r="XCA1" s="84"/>
      <c r="XCB1" s="84"/>
      <c r="XCC1" s="84"/>
      <c r="XCD1" s="84"/>
      <c r="XCE1" s="84"/>
      <c r="XCF1" s="84"/>
      <c r="XCG1" s="84"/>
      <c r="XCH1" s="84"/>
      <c r="XCI1" s="84"/>
      <c r="XCJ1" s="84"/>
      <c r="XCK1" s="84"/>
      <c r="XCL1" s="84"/>
      <c r="XCM1" s="84"/>
      <c r="XCN1" s="84"/>
      <c r="XCO1" s="84"/>
      <c r="XCP1" s="84"/>
      <c r="XCQ1" s="84"/>
      <c r="XCR1" s="84"/>
      <c r="XCS1" s="84"/>
      <c r="XCT1" s="84"/>
      <c r="XCU1" s="84"/>
      <c r="XCV1" s="84"/>
      <c r="XCW1" s="84"/>
      <c r="XCX1" s="84"/>
      <c r="XCY1" s="84"/>
      <c r="XCZ1" s="84"/>
      <c r="XDA1" s="84"/>
      <c r="XDB1" s="84"/>
      <c r="XDC1" s="84"/>
      <c r="XDD1" s="84"/>
      <c r="XDE1" s="84"/>
      <c r="XDF1" s="84"/>
      <c r="XDG1" s="84"/>
      <c r="XDH1" s="84"/>
      <c r="XDI1" s="84"/>
      <c r="XDJ1" s="84"/>
      <c r="XDK1" s="84"/>
      <c r="XDL1" s="84"/>
      <c r="XDM1" s="84"/>
      <c r="XDN1" s="84"/>
      <c r="XDO1" s="84"/>
      <c r="XDP1" s="84"/>
      <c r="XDQ1" s="84"/>
      <c r="XDR1" s="84"/>
      <c r="XDS1" s="84"/>
      <c r="XDT1" s="84"/>
      <c r="XDU1" s="84"/>
      <c r="XDV1" s="84"/>
      <c r="XDW1" s="84"/>
      <c r="XDX1" s="84"/>
      <c r="XDY1" s="84"/>
      <c r="XDZ1" s="84"/>
      <c r="XEA1" s="84"/>
      <c r="XEB1" s="84"/>
      <c r="XEC1" s="84"/>
      <c r="XED1" s="84"/>
      <c r="XEE1" s="84"/>
      <c r="XEF1" s="84"/>
      <c r="XEG1" s="84"/>
      <c r="XEH1" s="84"/>
      <c r="XEI1" s="84"/>
      <c r="XEJ1" s="84"/>
      <c r="XEK1" s="84"/>
      <c r="XEL1" s="84"/>
      <c r="XEM1" s="84"/>
      <c r="XEN1" s="84"/>
      <c r="XEO1" s="84"/>
      <c r="XEP1" s="84"/>
      <c r="XEQ1" s="84"/>
      <c r="XER1" s="84"/>
      <c r="XES1" s="84"/>
      <c r="XET1" s="84"/>
      <c r="XEU1" s="84"/>
      <c r="XEV1" s="84"/>
      <c r="XEW1" s="84"/>
      <c r="XEX1" s="84"/>
      <c r="XEY1" s="84"/>
      <c r="XEZ1" s="84"/>
      <c r="XFA1" s="84"/>
      <c r="XFB1" s="84"/>
      <c r="XFC1" s="84"/>
      <c r="XFD1" s="84"/>
    </row>
    <row r="2" spans="2:16384" s="25" customFormat="1" ht="30" x14ac:dyDescent="0.3">
      <c r="B2" s="8" t="s">
        <v>620</v>
      </c>
      <c r="C2" s="27"/>
      <c r="D2" s="85"/>
      <c r="G2" s="27"/>
      <c r="H2" s="85"/>
      <c r="J2" s="26"/>
      <c r="K2" s="27"/>
      <c r="L2" s="27"/>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c r="NY2" s="85"/>
      <c r="NZ2" s="85"/>
      <c r="OA2" s="85"/>
      <c r="OB2" s="85"/>
      <c r="OC2" s="85"/>
      <c r="OD2" s="85"/>
      <c r="OE2" s="85"/>
      <c r="OF2" s="85"/>
      <c r="OG2" s="85"/>
      <c r="OH2" s="85"/>
      <c r="OI2" s="85"/>
      <c r="OJ2" s="85"/>
      <c r="OK2" s="85"/>
      <c r="OL2" s="85"/>
      <c r="OM2" s="85"/>
      <c r="ON2" s="85"/>
      <c r="OO2" s="85"/>
      <c r="OP2" s="85"/>
      <c r="OQ2" s="85"/>
      <c r="OR2" s="85"/>
      <c r="OS2" s="85"/>
      <c r="OT2" s="85"/>
      <c r="OU2" s="85"/>
      <c r="OV2" s="85"/>
      <c r="OW2" s="85"/>
      <c r="OX2" s="85"/>
      <c r="OY2" s="85"/>
      <c r="OZ2" s="85"/>
      <c r="PA2" s="85"/>
      <c r="PB2" s="85"/>
      <c r="PC2" s="85"/>
      <c r="PD2" s="85"/>
      <c r="PE2" s="85"/>
      <c r="PF2" s="85"/>
      <c r="PG2" s="85"/>
      <c r="PH2" s="85"/>
      <c r="PI2" s="85"/>
      <c r="PJ2" s="85"/>
      <c r="PK2" s="85"/>
      <c r="PL2" s="85"/>
      <c r="PM2" s="85"/>
      <c r="PN2" s="85"/>
      <c r="PO2" s="85"/>
      <c r="PP2" s="85"/>
      <c r="PQ2" s="85"/>
      <c r="PR2" s="85"/>
      <c r="PS2" s="85"/>
      <c r="PT2" s="85"/>
      <c r="PU2" s="85"/>
      <c r="PV2" s="85"/>
      <c r="PW2" s="85"/>
      <c r="PX2" s="85"/>
      <c r="PY2" s="85"/>
      <c r="PZ2" s="85"/>
      <c r="QA2" s="85"/>
      <c r="QB2" s="85"/>
      <c r="QC2" s="85"/>
      <c r="QD2" s="85"/>
      <c r="QE2" s="85"/>
      <c r="QF2" s="85"/>
      <c r="QG2" s="85"/>
      <c r="QH2" s="85"/>
      <c r="QI2" s="85"/>
      <c r="QJ2" s="85"/>
      <c r="QK2" s="85"/>
      <c r="QL2" s="85"/>
      <c r="QM2" s="85"/>
      <c r="QN2" s="85"/>
      <c r="QO2" s="85"/>
      <c r="QP2" s="85"/>
      <c r="QQ2" s="85"/>
      <c r="QR2" s="85"/>
      <c r="QS2" s="85"/>
      <c r="QT2" s="85"/>
      <c r="QU2" s="85"/>
      <c r="QV2" s="85"/>
      <c r="QW2" s="85"/>
      <c r="QX2" s="85"/>
      <c r="QY2" s="85"/>
      <c r="QZ2" s="85"/>
      <c r="RA2" s="85"/>
      <c r="RB2" s="85"/>
      <c r="RC2" s="85"/>
      <c r="RD2" s="85"/>
      <c r="RE2" s="85"/>
      <c r="RF2" s="85"/>
      <c r="RG2" s="85"/>
      <c r="RH2" s="85"/>
      <c r="RI2" s="85"/>
      <c r="RJ2" s="85"/>
      <c r="RK2" s="85"/>
      <c r="RL2" s="85"/>
      <c r="RM2" s="85"/>
      <c r="RN2" s="85"/>
      <c r="RO2" s="85"/>
      <c r="RP2" s="85"/>
      <c r="RQ2" s="85"/>
      <c r="RR2" s="85"/>
      <c r="RS2" s="85"/>
      <c r="RT2" s="85"/>
      <c r="RU2" s="85"/>
      <c r="RV2" s="85"/>
      <c r="RW2" s="85"/>
      <c r="RX2" s="85"/>
      <c r="RY2" s="85"/>
      <c r="RZ2" s="85"/>
      <c r="SA2" s="85"/>
      <c r="SB2" s="85"/>
      <c r="SC2" s="85"/>
      <c r="SD2" s="85"/>
      <c r="SE2" s="85"/>
      <c r="SF2" s="85"/>
      <c r="SG2" s="85"/>
      <c r="SH2" s="85"/>
      <c r="SI2" s="85"/>
      <c r="SJ2" s="85"/>
      <c r="SK2" s="85"/>
      <c r="SL2" s="85"/>
      <c r="SM2" s="85"/>
      <c r="SN2" s="85"/>
      <c r="SO2" s="85"/>
      <c r="SP2" s="85"/>
      <c r="SQ2" s="85"/>
      <c r="SR2" s="85"/>
      <c r="SS2" s="85"/>
      <c r="ST2" s="85"/>
      <c r="SU2" s="85"/>
      <c r="SV2" s="85"/>
      <c r="SW2" s="85"/>
      <c r="SX2" s="85"/>
      <c r="SY2" s="85"/>
      <c r="SZ2" s="85"/>
      <c r="TA2" s="85"/>
      <c r="TB2" s="85"/>
      <c r="TC2" s="85"/>
      <c r="TD2" s="85"/>
      <c r="TE2" s="85"/>
      <c r="TF2" s="85"/>
      <c r="TG2" s="85"/>
      <c r="TH2" s="85"/>
      <c r="TI2" s="85"/>
      <c r="TJ2" s="85"/>
      <c r="TK2" s="85"/>
      <c r="TL2" s="85"/>
      <c r="TM2" s="85"/>
      <c r="TN2" s="85"/>
      <c r="TO2" s="85"/>
      <c r="TP2" s="85"/>
      <c r="TQ2" s="85"/>
      <c r="TR2" s="85"/>
      <c r="TS2" s="85"/>
      <c r="TT2" s="85"/>
      <c r="TU2" s="85"/>
      <c r="TV2" s="85"/>
      <c r="TW2" s="85"/>
      <c r="TX2" s="85"/>
      <c r="TY2" s="85"/>
      <c r="TZ2" s="85"/>
      <c r="UA2" s="85"/>
      <c r="UB2" s="85"/>
      <c r="UC2" s="85"/>
      <c r="UD2" s="85"/>
      <c r="UE2" s="85"/>
      <c r="UF2" s="85"/>
      <c r="UG2" s="85"/>
      <c r="UH2" s="85"/>
      <c r="UI2" s="85"/>
      <c r="UJ2" s="85"/>
      <c r="UK2" s="85"/>
      <c r="UL2" s="85"/>
      <c r="UM2" s="85"/>
      <c r="UN2" s="85"/>
      <c r="UO2" s="85"/>
      <c r="UP2" s="85"/>
      <c r="UQ2" s="85"/>
      <c r="UR2" s="85"/>
      <c r="US2" s="85"/>
      <c r="UT2" s="85"/>
      <c r="UU2" s="85"/>
      <c r="UV2" s="85"/>
      <c r="UW2" s="85"/>
      <c r="UX2" s="85"/>
      <c r="UY2" s="85"/>
      <c r="UZ2" s="85"/>
      <c r="VA2" s="85"/>
      <c r="VB2" s="85"/>
      <c r="VC2" s="85"/>
      <c r="VD2" s="85"/>
      <c r="VE2" s="85"/>
      <c r="VF2" s="85"/>
      <c r="VG2" s="85"/>
      <c r="VH2" s="85"/>
      <c r="VI2" s="85"/>
      <c r="VJ2" s="85"/>
      <c r="VK2" s="85"/>
      <c r="VL2" s="85"/>
      <c r="VM2" s="85"/>
      <c r="VN2" s="85"/>
      <c r="VO2" s="85"/>
      <c r="VP2" s="85"/>
      <c r="VQ2" s="85"/>
      <c r="VR2" s="85"/>
      <c r="VS2" s="85"/>
      <c r="VT2" s="85"/>
      <c r="VU2" s="85"/>
      <c r="VV2" s="85"/>
      <c r="VW2" s="85"/>
      <c r="VX2" s="85"/>
      <c r="VY2" s="85"/>
      <c r="VZ2" s="85"/>
      <c r="WA2" s="85"/>
      <c r="WB2" s="85"/>
      <c r="WC2" s="85"/>
      <c r="WD2" s="85"/>
      <c r="WE2" s="85"/>
      <c r="WF2" s="85"/>
      <c r="WG2" s="85"/>
      <c r="WH2" s="85"/>
      <c r="WI2" s="85"/>
      <c r="WJ2" s="85"/>
      <c r="WK2" s="85"/>
      <c r="WL2" s="85"/>
      <c r="WM2" s="85"/>
      <c r="WN2" s="85"/>
      <c r="WO2" s="85"/>
      <c r="WP2" s="85"/>
      <c r="WQ2" s="85"/>
      <c r="WR2" s="85"/>
      <c r="WS2" s="85"/>
      <c r="WT2" s="85"/>
      <c r="WU2" s="85"/>
      <c r="WV2" s="85"/>
      <c r="WW2" s="85"/>
      <c r="WX2" s="85"/>
      <c r="WY2" s="85"/>
      <c r="WZ2" s="85"/>
      <c r="XA2" s="85"/>
      <c r="XB2" s="85"/>
      <c r="XC2" s="85"/>
      <c r="XD2" s="85"/>
      <c r="XE2" s="85"/>
      <c r="XF2" s="85"/>
      <c r="XG2" s="85"/>
      <c r="XH2" s="85"/>
      <c r="XI2" s="85"/>
      <c r="XJ2" s="85"/>
      <c r="XK2" s="85"/>
      <c r="XL2" s="85"/>
      <c r="XM2" s="85"/>
      <c r="XN2" s="85"/>
      <c r="XO2" s="85"/>
      <c r="XP2" s="85"/>
      <c r="XQ2" s="85"/>
      <c r="XR2" s="85"/>
      <c r="XS2" s="85"/>
      <c r="XT2" s="85"/>
      <c r="XU2" s="85"/>
      <c r="XV2" s="85"/>
      <c r="XW2" s="85"/>
      <c r="XX2" s="85"/>
      <c r="XY2" s="85"/>
      <c r="XZ2" s="85"/>
      <c r="YA2" s="85"/>
      <c r="YB2" s="85"/>
      <c r="YC2" s="85"/>
      <c r="YD2" s="85"/>
      <c r="YE2" s="85"/>
      <c r="YF2" s="85"/>
      <c r="YG2" s="85"/>
      <c r="YH2" s="85"/>
      <c r="YI2" s="85"/>
      <c r="YJ2" s="85"/>
      <c r="YK2" s="85"/>
      <c r="YL2" s="85"/>
      <c r="YM2" s="85"/>
      <c r="YN2" s="85"/>
      <c r="YO2" s="85"/>
      <c r="YP2" s="85"/>
      <c r="YQ2" s="85"/>
      <c r="YR2" s="85"/>
      <c r="YS2" s="85"/>
      <c r="YT2" s="85"/>
      <c r="YU2" s="85"/>
      <c r="YV2" s="85"/>
      <c r="YW2" s="85"/>
      <c r="YX2" s="85"/>
      <c r="YY2" s="85"/>
      <c r="YZ2" s="85"/>
      <c r="ZA2" s="85"/>
      <c r="ZB2" s="85"/>
      <c r="ZC2" s="85"/>
      <c r="ZD2" s="85"/>
      <c r="ZE2" s="85"/>
      <c r="ZF2" s="85"/>
      <c r="ZG2" s="85"/>
      <c r="ZH2" s="85"/>
      <c r="ZI2" s="85"/>
      <c r="ZJ2" s="85"/>
      <c r="ZK2" s="85"/>
      <c r="ZL2" s="85"/>
      <c r="ZM2" s="85"/>
      <c r="ZN2" s="85"/>
      <c r="ZO2" s="85"/>
      <c r="ZP2" s="85"/>
      <c r="ZQ2" s="85"/>
      <c r="ZR2" s="85"/>
      <c r="ZS2" s="85"/>
      <c r="ZT2" s="85"/>
      <c r="ZU2" s="85"/>
      <c r="ZV2" s="85"/>
      <c r="ZW2" s="85"/>
      <c r="ZX2" s="85"/>
      <c r="ZY2" s="85"/>
      <c r="ZZ2" s="85"/>
      <c r="AAA2" s="85"/>
      <c r="AAB2" s="85"/>
      <c r="AAC2" s="85"/>
      <c r="AAD2" s="85"/>
      <c r="AAE2" s="85"/>
      <c r="AAF2" s="85"/>
      <c r="AAG2" s="85"/>
      <c r="AAH2" s="85"/>
      <c r="AAI2" s="85"/>
      <c r="AAJ2" s="85"/>
      <c r="AAK2" s="85"/>
      <c r="AAL2" s="85"/>
      <c r="AAM2" s="85"/>
      <c r="AAN2" s="85"/>
      <c r="AAO2" s="85"/>
      <c r="AAP2" s="85"/>
      <c r="AAQ2" s="85"/>
      <c r="AAR2" s="85"/>
      <c r="AAS2" s="85"/>
      <c r="AAT2" s="85"/>
      <c r="AAU2" s="85"/>
      <c r="AAV2" s="85"/>
      <c r="AAW2" s="85"/>
      <c r="AAX2" s="85"/>
      <c r="AAY2" s="85"/>
      <c r="AAZ2" s="85"/>
      <c r="ABA2" s="85"/>
      <c r="ABB2" s="85"/>
      <c r="ABC2" s="85"/>
      <c r="ABD2" s="85"/>
      <c r="ABE2" s="85"/>
      <c r="ABF2" s="85"/>
      <c r="ABG2" s="85"/>
      <c r="ABH2" s="85"/>
      <c r="ABI2" s="85"/>
      <c r="ABJ2" s="85"/>
      <c r="ABK2" s="85"/>
      <c r="ABL2" s="85"/>
      <c r="ABM2" s="85"/>
      <c r="ABN2" s="85"/>
      <c r="ABO2" s="85"/>
      <c r="ABP2" s="85"/>
      <c r="ABQ2" s="85"/>
      <c r="ABR2" s="85"/>
      <c r="ABS2" s="85"/>
      <c r="ABT2" s="85"/>
      <c r="ABU2" s="85"/>
      <c r="ABV2" s="85"/>
      <c r="ABW2" s="85"/>
      <c r="ABX2" s="85"/>
      <c r="ABY2" s="85"/>
      <c r="ABZ2" s="85"/>
      <c r="ACA2" s="85"/>
      <c r="ACB2" s="85"/>
      <c r="ACC2" s="85"/>
      <c r="ACD2" s="85"/>
      <c r="ACE2" s="85"/>
      <c r="ACF2" s="85"/>
      <c r="ACG2" s="85"/>
      <c r="ACH2" s="85"/>
      <c r="ACI2" s="85"/>
      <c r="ACJ2" s="85"/>
      <c r="ACK2" s="85"/>
      <c r="ACL2" s="85"/>
      <c r="ACM2" s="85"/>
      <c r="ACN2" s="85"/>
      <c r="ACO2" s="85"/>
      <c r="ACP2" s="85"/>
      <c r="ACQ2" s="85"/>
      <c r="ACR2" s="85"/>
      <c r="ACS2" s="85"/>
      <c r="ACT2" s="85"/>
      <c r="ACU2" s="85"/>
      <c r="ACV2" s="85"/>
      <c r="ACW2" s="85"/>
      <c r="ACX2" s="85"/>
      <c r="ACY2" s="85"/>
      <c r="ACZ2" s="85"/>
      <c r="ADA2" s="85"/>
      <c r="ADB2" s="85"/>
      <c r="ADC2" s="85"/>
      <c r="ADD2" s="85"/>
      <c r="ADE2" s="85"/>
      <c r="ADF2" s="85"/>
      <c r="ADG2" s="85"/>
      <c r="ADH2" s="85"/>
      <c r="ADI2" s="85"/>
      <c r="ADJ2" s="85"/>
      <c r="ADK2" s="85"/>
      <c r="ADL2" s="85"/>
      <c r="ADM2" s="85"/>
      <c r="ADN2" s="85"/>
      <c r="ADO2" s="85"/>
      <c r="ADP2" s="85"/>
      <c r="ADQ2" s="85"/>
      <c r="ADR2" s="85"/>
      <c r="ADS2" s="85"/>
      <c r="ADT2" s="85"/>
      <c r="ADU2" s="85"/>
      <c r="ADV2" s="85"/>
      <c r="ADW2" s="85"/>
      <c r="ADX2" s="85"/>
      <c r="ADY2" s="85"/>
      <c r="ADZ2" s="85"/>
      <c r="AEA2" s="85"/>
      <c r="AEB2" s="85"/>
      <c r="AEC2" s="85"/>
      <c r="AED2" s="85"/>
      <c r="AEE2" s="85"/>
      <c r="AEF2" s="85"/>
      <c r="AEG2" s="85"/>
      <c r="AEH2" s="85"/>
      <c r="AEI2" s="85"/>
      <c r="AEJ2" s="85"/>
      <c r="AEK2" s="85"/>
      <c r="AEL2" s="85"/>
      <c r="AEM2" s="85"/>
      <c r="AEN2" s="85"/>
      <c r="AEO2" s="85"/>
      <c r="AEP2" s="85"/>
      <c r="AEQ2" s="85"/>
      <c r="AER2" s="85"/>
      <c r="AES2" s="85"/>
      <c r="AET2" s="85"/>
      <c r="AEU2" s="85"/>
      <c r="AEV2" s="85"/>
      <c r="AEW2" s="85"/>
      <c r="AEX2" s="85"/>
      <c r="AEY2" s="85"/>
      <c r="AEZ2" s="85"/>
      <c r="AFA2" s="85"/>
      <c r="AFB2" s="85"/>
      <c r="AFC2" s="85"/>
      <c r="AFD2" s="85"/>
      <c r="AFE2" s="85"/>
      <c r="AFF2" s="85"/>
      <c r="AFG2" s="85"/>
      <c r="AFH2" s="85"/>
      <c r="AFI2" s="85"/>
      <c r="AFJ2" s="85"/>
      <c r="AFK2" s="85"/>
      <c r="AFL2" s="85"/>
      <c r="AFM2" s="85"/>
      <c r="AFN2" s="85"/>
      <c r="AFO2" s="85"/>
      <c r="AFP2" s="85"/>
      <c r="AFQ2" s="85"/>
      <c r="AFR2" s="85"/>
      <c r="AFS2" s="85"/>
      <c r="AFT2" s="85"/>
      <c r="AFU2" s="85"/>
      <c r="AFV2" s="85"/>
      <c r="AFW2" s="85"/>
      <c r="AFX2" s="85"/>
      <c r="AFY2" s="85"/>
      <c r="AFZ2" s="85"/>
      <c r="AGA2" s="85"/>
      <c r="AGB2" s="85"/>
      <c r="AGC2" s="85"/>
      <c r="AGD2" s="85"/>
      <c r="AGE2" s="85"/>
      <c r="AGF2" s="85"/>
      <c r="AGG2" s="85"/>
      <c r="AGH2" s="85"/>
      <c r="AGI2" s="85"/>
      <c r="AGJ2" s="85"/>
      <c r="AGK2" s="85"/>
      <c r="AGL2" s="85"/>
      <c r="AGM2" s="85"/>
      <c r="AGN2" s="85"/>
      <c r="AGO2" s="85"/>
      <c r="AGP2" s="85"/>
      <c r="AGQ2" s="85"/>
      <c r="AGR2" s="85"/>
      <c r="AGS2" s="85"/>
      <c r="AGT2" s="85"/>
      <c r="AGU2" s="85"/>
      <c r="AGV2" s="85"/>
      <c r="AGW2" s="85"/>
      <c r="AGX2" s="85"/>
      <c r="AGY2" s="85"/>
      <c r="AGZ2" s="85"/>
      <c r="AHA2" s="85"/>
      <c r="AHB2" s="85"/>
      <c r="AHC2" s="85"/>
      <c r="AHD2" s="85"/>
      <c r="AHE2" s="85"/>
      <c r="AHF2" s="85"/>
      <c r="AHG2" s="85"/>
      <c r="AHH2" s="85"/>
      <c r="AHI2" s="85"/>
      <c r="AHJ2" s="85"/>
      <c r="AHK2" s="85"/>
      <c r="AHL2" s="85"/>
      <c r="AHM2" s="85"/>
      <c r="AHN2" s="85"/>
      <c r="AHO2" s="85"/>
      <c r="AHP2" s="85"/>
      <c r="AHQ2" s="85"/>
      <c r="AHR2" s="85"/>
      <c r="AHS2" s="85"/>
      <c r="AHT2" s="85"/>
      <c r="AHU2" s="85"/>
      <c r="AHV2" s="85"/>
      <c r="AHW2" s="85"/>
      <c r="AHX2" s="85"/>
      <c r="AHY2" s="85"/>
      <c r="AHZ2" s="85"/>
      <c r="AIA2" s="85"/>
      <c r="AIB2" s="85"/>
      <c r="AIC2" s="85"/>
      <c r="AID2" s="85"/>
      <c r="AIE2" s="85"/>
      <c r="AIF2" s="85"/>
      <c r="AIG2" s="85"/>
      <c r="AIH2" s="85"/>
      <c r="AII2" s="85"/>
      <c r="AIJ2" s="85"/>
      <c r="AIK2" s="85"/>
      <c r="AIL2" s="85"/>
      <c r="AIM2" s="85"/>
      <c r="AIN2" s="85"/>
      <c r="AIO2" s="85"/>
      <c r="AIP2" s="85"/>
      <c r="AIQ2" s="85"/>
      <c r="AIR2" s="85"/>
      <c r="AIS2" s="85"/>
      <c r="AIT2" s="85"/>
      <c r="AIU2" s="85"/>
      <c r="AIV2" s="85"/>
      <c r="AIW2" s="85"/>
      <c r="AIX2" s="85"/>
      <c r="AIY2" s="85"/>
      <c r="AIZ2" s="85"/>
      <c r="AJA2" s="85"/>
      <c r="AJB2" s="85"/>
      <c r="AJC2" s="85"/>
      <c r="AJD2" s="85"/>
      <c r="AJE2" s="85"/>
      <c r="AJF2" s="85"/>
      <c r="AJG2" s="85"/>
      <c r="AJH2" s="85"/>
      <c r="AJI2" s="85"/>
      <c r="AJJ2" s="85"/>
      <c r="AJK2" s="85"/>
      <c r="AJL2" s="85"/>
      <c r="AJM2" s="85"/>
      <c r="AJN2" s="85"/>
      <c r="AJO2" s="85"/>
      <c r="AJP2" s="85"/>
      <c r="AJQ2" s="85"/>
      <c r="AJR2" s="85"/>
      <c r="AJS2" s="85"/>
      <c r="AJT2" s="85"/>
      <c r="AJU2" s="85"/>
      <c r="AJV2" s="85"/>
      <c r="AJW2" s="85"/>
      <c r="AJX2" s="85"/>
      <c r="AJY2" s="85"/>
      <c r="AJZ2" s="85"/>
      <c r="AKA2" s="85"/>
      <c r="AKB2" s="85"/>
      <c r="AKC2" s="85"/>
      <c r="AKD2" s="85"/>
      <c r="AKE2" s="85"/>
      <c r="AKF2" s="85"/>
      <c r="AKG2" s="85"/>
      <c r="AKH2" s="85"/>
      <c r="AKI2" s="85"/>
      <c r="AKJ2" s="85"/>
      <c r="AKK2" s="85"/>
      <c r="AKL2" s="85"/>
      <c r="AKM2" s="85"/>
      <c r="AKN2" s="85"/>
      <c r="AKO2" s="85"/>
      <c r="AKP2" s="85"/>
      <c r="AKQ2" s="85"/>
      <c r="AKR2" s="85"/>
      <c r="AKS2" s="85"/>
      <c r="AKT2" s="85"/>
      <c r="AKU2" s="85"/>
      <c r="AKV2" s="85"/>
      <c r="AKW2" s="85"/>
      <c r="AKX2" s="85"/>
      <c r="AKY2" s="85"/>
      <c r="AKZ2" s="85"/>
      <c r="ALA2" s="85"/>
      <c r="ALB2" s="85"/>
      <c r="ALC2" s="85"/>
      <c r="ALD2" s="85"/>
      <c r="ALE2" s="85"/>
      <c r="ALF2" s="85"/>
      <c r="ALG2" s="85"/>
      <c r="ALH2" s="85"/>
      <c r="ALI2" s="85"/>
      <c r="ALJ2" s="85"/>
      <c r="ALK2" s="85"/>
      <c r="ALL2" s="85"/>
      <c r="ALM2" s="85"/>
      <c r="ALN2" s="85"/>
      <c r="ALO2" s="85"/>
      <c r="ALP2" s="85"/>
      <c r="ALQ2" s="85"/>
      <c r="ALR2" s="85"/>
      <c r="ALS2" s="85"/>
      <c r="ALT2" s="85"/>
      <c r="ALU2" s="85"/>
      <c r="ALV2" s="85"/>
      <c r="ALW2" s="85"/>
      <c r="ALX2" s="85"/>
      <c r="ALY2" s="85"/>
      <c r="ALZ2" s="85"/>
      <c r="AMA2" s="85"/>
      <c r="AMB2" s="85"/>
      <c r="AMC2" s="85"/>
      <c r="AMD2" s="85"/>
      <c r="AME2" s="85"/>
      <c r="AMF2" s="85"/>
      <c r="AMG2" s="85"/>
      <c r="AMH2" s="85"/>
      <c r="AMI2" s="85"/>
      <c r="AMJ2" s="85"/>
      <c r="AMK2" s="85"/>
      <c r="AML2" s="85"/>
      <c r="AMM2" s="85"/>
      <c r="AMN2" s="85"/>
      <c r="AMO2" s="85"/>
      <c r="AMP2" s="85"/>
      <c r="AMQ2" s="85"/>
      <c r="AMR2" s="85"/>
      <c r="AMS2" s="85"/>
      <c r="AMT2" s="85"/>
      <c r="AMU2" s="85"/>
      <c r="AMV2" s="85"/>
      <c r="AMW2" s="85"/>
      <c r="AMX2" s="85"/>
      <c r="AMY2" s="85"/>
      <c r="AMZ2" s="85"/>
      <c r="ANA2" s="85"/>
      <c r="ANB2" s="85"/>
      <c r="ANC2" s="85"/>
      <c r="AND2" s="85"/>
      <c r="ANE2" s="85"/>
      <c r="ANF2" s="85"/>
      <c r="ANG2" s="85"/>
      <c r="ANH2" s="85"/>
      <c r="ANI2" s="85"/>
      <c r="ANJ2" s="85"/>
      <c r="ANK2" s="85"/>
      <c r="ANL2" s="85"/>
      <c r="ANM2" s="85"/>
      <c r="ANN2" s="85"/>
      <c r="ANO2" s="85"/>
      <c r="ANP2" s="85"/>
      <c r="ANQ2" s="85"/>
      <c r="ANR2" s="85"/>
      <c r="ANS2" s="85"/>
      <c r="ANT2" s="85"/>
      <c r="ANU2" s="85"/>
      <c r="ANV2" s="85"/>
      <c r="ANW2" s="85"/>
      <c r="ANX2" s="85"/>
      <c r="ANY2" s="85"/>
      <c r="ANZ2" s="85"/>
      <c r="AOA2" s="85"/>
      <c r="AOB2" s="85"/>
      <c r="AOC2" s="85"/>
      <c r="AOD2" s="85"/>
      <c r="AOE2" s="85"/>
      <c r="AOF2" s="85"/>
      <c r="AOG2" s="85"/>
      <c r="AOH2" s="85"/>
      <c r="AOI2" s="85"/>
      <c r="AOJ2" s="85"/>
      <c r="AOK2" s="85"/>
      <c r="AOL2" s="85"/>
      <c r="AOM2" s="85"/>
      <c r="AON2" s="85"/>
      <c r="AOO2" s="85"/>
      <c r="AOP2" s="85"/>
      <c r="AOQ2" s="85"/>
      <c r="AOR2" s="85"/>
      <c r="AOS2" s="85"/>
      <c r="AOT2" s="85"/>
      <c r="AOU2" s="85"/>
      <c r="AOV2" s="85"/>
      <c r="AOW2" s="85"/>
      <c r="AOX2" s="85"/>
      <c r="AOY2" s="85"/>
      <c r="AOZ2" s="85"/>
      <c r="APA2" s="85"/>
      <c r="APB2" s="85"/>
      <c r="APC2" s="85"/>
      <c r="APD2" s="85"/>
      <c r="APE2" s="85"/>
      <c r="APF2" s="85"/>
      <c r="APG2" s="85"/>
      <c r="APH2" s="85"/>
      <c r="API2" s="85"/>
      <c r="APJ2" s="85"/>
      <c r="APK2" s="85"/>
      <c r="APL2" s="85"/>
      <c r="APM2" s="85"/>
      <c r="APN2" s="85"/>
      <c r="APO2" s="85"/>
      <c r="APP2" s="85"/>
      <c r="APQ2" s="85"/>
      <c r="APR2" s="85"/>
      <c r="APS2" s="85"/>
      <c r="APT2" s="85"/>
      <c r="APU2" s="85"/>
      <c r="APV2" s="85"/>
      <c r="APW2" s="85"/>
      <c r="APX2" s="85"/>
      <c r="APY2" s="85"/>
      <c r="APZ2" s="85"/>
      <c r="AQA2" s="85"/>
      <c r="AQB2" s="85"/>
      <c r="AQC2" s="85"/>
      <c r="AQD2" s="85"/>
      <c r="AQE2" s="85"/>
      <c r="AQF2" s="85"/>
      <c r="AQG2" s="85"/>
      <c r="AQH2" s="85"/>
      <c r="AQI2" s="85"/>
      <c r="AQJ2" s="85"/>
      <c r="AQK2" s="85"/>
      <c r="AQL2" s="85"/>
      <c r="AQM2" s="85"/>
      <c r="AQN2" s="85"/>
      <c r="AQO2" s="85"/>
      <c r="AQP2" s="85"/>
      <c r="AQQ2" s="85"/>
      <c r="AQR2" s="85"/>
      <c r="AQS2" s="85"/>
      <c r="AQT2" s="85"/>
      <c r="AQU2" s="85"/>
      <c r="AQV2" s="85"/>
      <c r="AQW2" s="85"/>
      <c r="AQX2" s="85"/>
      <c r="AQY2" s="85"/>
      <c r="AQZ2" s="85"/>
      <c r="ARA2" s="85"/>
      <c r="ARB2" s="85"/>
      <c r="ARC2" s="85"/>
      <c r="ARD2" s="85"/>
      <c r="ARE2" s="85"/>
      <c r="ARF2" s="85"/>
      <c r="ARG2" s="85"/>
      <c r="ARH2" s="85"/>
      <c r="ARI2" s="85"/>
      <c r="ARJ2" s="85"/>
      <c r="ARK2" s="85"/>
      <c r="ARL2" s="85"/>
      <c r="ARM2" s="85"/>
      <c r="ARN2" s="85"/>
      <c r="ARO2" s="85"/>
      <c r="ARP2" s="85"/>
      <c r="ARQ2" s="85"/>
      <c r="ARR2" s="85"/>
      <c r="ARS2" s="85"/>
      <c r="ART2" s="85"/>
      <c r="ARU2" s="85"/>
      <c r="ARV2" s="85"/>
      <c r="ARW2" s="85"/>
      <c r="ARX2" s="85"/>
      <c r="ARY2" s="85"/>
      <c r="ARZ2" s="85"/>
      <c r="ASA2" s="85"/>
      <c r="ASB2" s="85"/>
      <c r="ASC2" s="85"/>
      <c r="ASD2" s="85"/>
      <c r="ASE2" s="85"/>
      <c r="ASF2" s="85"/>
      <c r="ASG2" s="85"/>
      <c r="ASH2" s="85"/>
      <c r="ASI2" s="85"/>
      <c r="ASJ2" s="85"/>
      <c r="ASK2" s="85"/>
      <c r="ASL2" s="85"/>
      <c r="ASM2" s="85"/>
      <c r="ASN2" s="85"/>
      <c r="ASO2" s="85"/>
      <c r="ASP2" s="85"/>
      <c r="ASQ2" s="85"/>
      <c r="ASR2" s="85"/>
      <c r="ASS2" s="85"/>
      <c r="AST2" s="85"/>
      <c r="ASU2" s="85"/>
      <c r="ASV2" s="85"/>
      <c r="ASW2" s="85"/>
      <c r="ASX2" s="85"/>
      <c r="ASY2" s="85"/>
      <c r="ASZ2" s="85"/>
      <c r="ATA2" s="85"/>
      <c r="ATB2" s="85"/>
      <c r="ATC2" s="85"/>
      <c r="ATD2" s="85"/>
      <c r="ATE2" s="85"/>
      <c r="ATF2" s="85"/>
      <c r="ATG2" s="85"/>
      <c r="ATH2" s="85"/>
      <c r="ATI2" s="85"/>
      <c r="ATJ2" s="85"/>
      <c r="ATK2" s="85"/>
      <c r="ATL2" s="85"/>
      <c r="ATM2" s="85"/>
      <c r="ATN2" s="85"/>
      <c r="ATO2" s="85"/>
      <c r="ATP2" s="85"/>
      <c r="ATQ2" s="85"/>
      <c r="ATR2" s="85"/>
      <c r="ATS2" s="85"/>
      <c r="ATT2" s="85"/>
      <c r="ATU2" s="85"/>
      <c r="ATV2" s="85"/>
      <c r="ATW2" s="85"/>
      <c r="ATX2" s="85"/>
      <c r="ATY2" s="85"/>
      <c r="ATZ2" s="85"/>
      <c r="AUA2" s="85"/>
      <c r="AUB2" s="85"/>
      <c r="AUC2" s="85"/>
      <c r="AUD2" s="85"/>
      <c r="AUE2" s="85"/>
      <c r="AUF2" s="85"/>
      <c r="AUG2" s="85"/>
      <c r="AUH2" s="85"/>
      <c r="AUI2" s="85"/>
      <c r="AUJ2" s="85"/>
      <c r="AUK2" s="85"/>
      <c r="AUL2" s="85"/>
      <c r="AUM2" s="85"/>
      <c r="AUN2" s="85"/>
      <c r="AUO2" s="85"/>
      <c r="AUP2" s="85"/>
      <c r="AUQ2" s="85"/>
      <c r="AUR2" s="85"/>
      <c r="AUS2" s="85"/>
      <c r="AUT2" s="85"/>
      <c r="AUU2" s="85"/>
      <c r="AUV2" s="85"/>
      <c r="AUW2" s="85"/>
      <c r="AUX2" s="85"/>
      <c r="AUY2" s="85"/>
      <c r="AUZ2" s="85"/>
      <c r="AVA2" s="85"/>
      <c r="AVB2" s="85"/>
      <c r="AVC2" s="85"/>
      <c r="AVD2" s="85"/>
      <c r="AVE2" s="85"/>
      <c r="AVF2" s="85"/>
      <c r="AVG2" s="85"/>
      <c r="AVH2" s="85"/>
      <c r="AVI2" s="85"/>
      <c r="AVJ2" s="85"/>
      <c r="AVK2" s="85"/>
      <c r="AVL2" s="85"/>
      <c r="AVM2" s="85"/>
      <c r="AVN2" s="85"/>
      <c r="AVO2" s="85"/>
      <c r="AVP2" s="85"/>
      <c r="AVQ2" s="85"/>
      <c r="AVR2" s="85"/>
      <c r="AVS2" s="85"/>
      <c r="AVT2" s="85"/>
      <c r="AVU2" s="85"/>
      <c r="AVV2" s="85"/>
      <c r="AVW2" s="85"/>
      <c r="AVX2" s="85"/>
      <c r="AVY2" s="85"/>
      <c r="AVZ2" s="85"/>
      <c r="AWA2" s="85"/>
      <c r="AWB2" s="85"/>
      <c r="AWC2" s="85"/>
      <c r="AWD2" s="85"/>
      <c r="AWE2" s="85"/>
      <c r="AWF2" s="85"/>
      <c r="AWG2" s="85"/>
      <c r="AWH2" s="85"/>
      <c r="AWI2" s="85"/>
      <c r="AWJ2" s="85"/>
      <c r="AWK2" s="85"/>
      <c r="AWL2" s="85"/>
      <c r="AWM2" s="85"/>
      <c r="AWN2" s="85"/>
      <c r="AWO2" s="85"/>
      <c r="AWP2" s="85"/>
      <c r="AWQ2" s="85"/>
      <c r="AWR2" s="85"/>
      <c r="AWS2" s="85"/>
      <c r="AWT2" s="85"/>
      <c r="AWU2" s="85"/>
      <c r="AWV2" s="85"/>
      <c r="AWW2" s="85"/>
      <c r="AWX2" s="85"/>
      <c r="AWY2" s="85"/>
      <c r="AWZ2" s="85"/>
      <c r="AXA2" s="85"/>
      <c r="AXB2" s="85"/>
      <c r="AXC2" s="85"/>
      <c r="AXD2" s="85"/>
      <c r="AXE2" s="85"/>
      <c r="AXF2" s="85"/>
      <c r="AXG2" s="85"/>
      <c r="AXH2" s="85"/>
      <c r="AXI2" s="85"/>
      <c r="AXJ2" s="85"/>
      <c r="AXK2" s="85"/>
      <c r="AXL2" s="85"/>
      <c r="AXM2" s="85"/>
      <c r="AXN2" s="85"/>
      <c r="AXO2" s="85"/>
      <c r="AXP2" s="85"/>
      <c r="AXQ2" s="85"/>
      <c r="AXR2" s="85"/>
      <c r="AXS2" s="85"/>
      <c r="AXT2" s="85"/>
      <c r="AXU2" s="85"/>
      <c r="AXV2" s="85"/>
      <c r="AXW2" s="85"/>
      <c r="AXX2" s="85"/>
      <c r="AXY2" s="85"/>
      <c r="AXZ2" s="85"/>
      <c r="AYA2" s="85"/>
      <c r="AYB2" s="85"/>
      <c r="AYC2" s="85"/>
      <c r="AYD2" s="85"/>
      <c r="AYE2" s="85"/>
      <c r="AYF2" s="85"/>
      <c r="AYG2" s="85"/>
      <c r="AYH2" s="85"/>
      <c r="AYI2" s="85"/>
      <c r="AYJ2" s="85"/>
      <c r="AYK2" s="85"/>
      <c r="AYL2" s="85"/>
      <c r="AYM2" s="85"/>
      <c r="AYN2" s="85"/>
      <c r="AYO2" s="85"/>
      <c r="AYP2" s="85"/>
      <c r="AYQ2" s="85"/>
      <c r="AYR2" s="85"/>
      <c r="AYS2" s="85"/>
      <c r="AYT2" s="85"/>
      <c r="AYU2" s="85"/>
      <c r="AYV2" s="85"/>
      <c r="AYW2" s="85"/>
      <c r="AYX2" s="85"/>
      <c r="AYY2" s="85"/>
      <c r="AYZ2" s="85"/>
      <c r="AZA2" s="85"/>
      <c r="AZB2" s="85"/>
      <c r="AZC2" s="85"/>
      <c r="AZD2" s="85"/>
      <c r="AZE2" s="85"/>
      <c r="AZF2" s="85"/>
      <c r="AZG2" s="85"/>
      <c r="AZH2" s="85"/>
      <c r="AZI2" s="85"/>
      <c r="AZJ2" s="85"/>
      <c r="AZK2" s="85"/>
      <c r="AZL2" s="85"/>
      <c r="AZM2" s="85"/>
      <c r="AZN2" s="85"/>
      <c r="AZO2" s="85"/>
      <c r="AZP2" s="85"/>
      <c r="AZQ2" s="85"/>
      <c r="AZR2" s="85"/>
      <c r="AZS2" s="85"/>
      <c r="AZT2" s="85"/>
      <c r="AZU2" s="85"/>
      <c r="AZV2" s="85"/>
      <c r="AZW2" s="85"/>
      <c r="AZX2" s="85"/>
      <c r="AZY2" s="85"/>
      <c r="AZZ2" s="85"/>
      <c r="BAA2" s="85"/>
      <c r="BAB2" s="85"/>
      <c r="BAC2" s="85"/>
      <c r="BAD2" s="85"/>
      <c r="BAE2" s="85"/>
      <c r="BAF2" s="85"/>
      <c r="BAG2" s="85"/>
      <c r="BAH2" s="85"/>
      <c r="BAI2" s="85"/>
      <c r="BAJ2" s="85"/>
      <c r="BAK2" s="85"/>
      <c r="BAL2" s="85"/>
      <c r="BAM2" s="85"/>
      <c r="BAN2" s="85"/>
      <c r="BAO2" s="85"/>
      <c r="BAP2" s="85"/>
      <c r="BAQ2" s="85"/>
      <c r="BAR2" s="85"/>
      <c r="BAS2" s="85"/>
      <c r="BAT2" s="85"/>
      <c r="BAU2" s="85"/>
      <c r="BAV2" s="85"/>
      <c r="BAW2" s="85"/>
      <c r="BAX2" s="85"/>
      <c r="BAY2" s="85"/>
      <c r="BAZ2" s="85"/>
      <c r="BBA2" s="85"/>
      <c r="BBB2" s="85"/>
      <c r="BBC2" s="85"/>
      <c r="BBD2" s="85"/>
      <c r="BBE2" s="85"/>
      <c r="BBF2" s="85"/>
      <c r="BBG2" s="85"/>
      <c r="BBH2" s="85"/>
      <c r="BBI2" s="85"/>
      <c r="BBJ2" s="85"/>
      <c r="BBK2" s="85"/>
      <c r="BBL2" s="85"/>
      <c r="BBM2" s="85"/>
      <c r="BBN2" s="85"/>
      <c r="BBO2" s="85"/>
      <c r="BBP2" s="85"/>
      <c r="BBQ2" s="85"/>
      <c r="BBR2" s="85"/>
      <c r="BBS2" s="85"/>
      <c r="BBT2" s="85"/>
      <c r="BBU2" s="85"/>
      <c r="BBV2" s="85"/>
      <c r="BBW2" s="85"/>
      <c r="BBX2" s="85"/>
      <c r="BBY2" s="85"/>
      <c r="BBZ2" s="85"/>
      <c r="BCA2" s="85"/>
      <c r="BCB2" s="85"/>
      <c r="BCC2" s="85"/>
      <c r="BCD2" s="85"/>
      <c r="BCE2" s="85"/>
      <c r="BCF2" s="85"/>
      <c r="BCG2" s="85"/>
      <c r="BCH2" s="85"/>
      <c r="BCI2" s="85"/>
      <c r="BCJ2" s="85"/>
      <c r="BCK2" s="85"/>
      <c r="BCL2" s="85"/>
      <c r="BCM2" s="85"/>
      <c r="BCN2" s="85"/>
      <c r="BCO2" s="85"/>
      <c r="BCP2" s="85"/>
      <c r="BCQ2" s="85"/>
      <c r="BCR2" s="85"/>
      <c r="BCS2" s="85"/>
      <c r="BCT2" s="85"/>
      <c r="BCU2" s="85"/>
      <c r="BCV2" s="85"/>
      <c r="BCW2" s="85"/>
      <c r="BCX2" s="85"/>
      <c r="BCY2" s="85"/>
      <c r="BCZ2" s="85"/>
      <c r="BDA2" s="85"/>
      <c r="BDB2" s="85"/>
      <c r="BDC2" s="85"/>
      <c r="BDD2" s="85"/>
      <c r="BDE2" s="85"/>
      <c r="BDF2" s="85"/>
      <c r="BDG2" s="85"/>
      <c r="BDH2" s="85"/>
      <c r="BDI2" s="85"/>
      <c r="BDJ2" s="85"/>
      <c r="BDK2" s="85"/>
      <c r="BDL2" s="85"/>
      <c r="BDM2" s="85"/>
      <c r="BDN2" s="85"/>
      <c r="BDO2" s="85"/>
      <c r="BDP2" s="85"/>
      <c r="BDQ2" s="85"/>
      <c r="BDR2" s="85"/>
      <c r="BDS2" s="85"/>
      <c r="BDT2" s="85"/>
      <c r="BDU2" s="85"/>
      <c r="BDV2" s="85"/>
      <c r="BDW2" s="85"/>
      <c r="BDX2" s="85"/>
      <c r="BDY2" s="85"/>
      <c r="BDZ2" s="85"/>
      <c r="BEA2" s="85"/>
      <c r="BEB2" s="85"/>
      <c r="BEC2" s="85"/>
      <c r="BED2" s="85"/>
      <c r="BEE2" s="85"/>
      <c r="BEF2" s="85"/>
      <c r="BEG2" s="85"/>
      <c r="BEH2" s="85"/>
      <c r="BEI2" s="85"/>
      <c r="BEJ2" s="85"/>
      <c r="BEK2" s="85"/>
      <c r="BEL2" s="85"/>
      <c r="BEM2" s="85"/>
      <c r="BEN2" s="85"/>
      <c r="BEO2" s="85"/>
      <c r="BEP2" s="85"/>
      <c r="BEQ2" s="85"/>
      <c r="BER2" s="85"/>
      <c r="BES2" s="85"/>
      <c r="BET2" s="85"/>
      <c r="BEU2" s="85"/>
      <c r="BEV2" s="85"/>
      <c r="BEW2" s="85"/>
      <c r="BEX2" s="85"/>
      <c r="BEY2" s="85"/>
      <c r="BEZ2" s="85"/>
      <c r="BFA2" s="85"/>
      <c r="BFB2" s="85"/>
      <c r="BFC2" s="85"/>
      <c r="BFD2" s="85"/>
      <c r="BFE2" s="85"/>
      <c r="BFF2" s="85"/>
      <c r="BFG2" s="85"/>
      <c r="BFH2" s="85"/>
      <c r="BFI2" s="85"/>
      <c r="BFJ2" s="85"/>
      <c r="BFK2" s="85"/>
      <c r="BFL2" s="85"/>
      <c r="BFM2" s="85"/>
      <c r="BFN2" s="85"/>
      <c r="BFO2" s="85"/>
      <c r="BFP2" s="85"/>
      <c r="BFQ2" s="85"/>
      <c r="BFR2" s="85"/>
      <c r="BFS2" s="85"/>
      <c r="BFT2" s="85"/>
      <c r="BFU2" s="85"/>
      <c r="BFV2" s="85"/>
      <c r="BFW2" s="85"/>
      <c r="BFX2" s="85"/>
      <c r="BFY2" s="85"/>
      <c r="BFZ2" s="85"/>
      <c r="BGA2" s="85"/>
      <c r="BGB2" s="85"/>
      <c r="BGC2" s="85"/>
      <c r="BGD2" s="85"/>
      <c r="BGE2" s="85"/>
      <c r="BGF2" s="85"/>
      <c r="BGG2" s="85"/>
      <c r="BGH2" s="85"/>
      <c r="BGI2" s="85"/>
      <c r="BGJ2" s="85"/>
      <c r="BGK2" s="85"/>
      <c r="BGL2" s="85"/>
      <c r="BGM2" s="85"/>
      <c r="BGN2" s="85"/>
      <c r="BGO2" s="85"/>
      <c r="BGP2" s="85"/>
      <c r="BGQ2" s="85"/>
      <c r="BGR2" s="85"/>
      <c r="BGS2" s="85"/>
      <c r="BGT2" s="85"/>
      <c r="BGU2" s="85"/>
      <c r="BGV2" s="85"/>
      <c r="BGW2" s="85"/>
      <c r="BGX2" s="85"/>
      <c r="BGY2" s="85"/>
      <c r="BGZ2" s="85"/>
      <c r="BHA2" s="85"/>
      <c r="BHB2" s="85"/>
      <c r="BHC2" s="85"/>
      <c r="BHD2" s="85"/>
      <c r="BHE2" s="85"/>
      <c r="BHF2" s="85"/>
      <c r="BHG2" s="85"/>
      <c r="BHH2" s="85"/>
      <c r="BHI2" s="85"/>
      <c r="BHJ2" s="85"/>
      <c r="BHK2" s="85"/>
      <c r="BHL2" s="85"/>
      <c r="BHM2" s="85"/>
      <c r="BHN2" s="85"/>
      <c r="BHO2" s="85"/>
      <c r="BHP2" s="85"/>
      <c r="BHQ2" s="85"/>
      <c r="BHR2" s="85"/>
      <c r="BHS2" s="85"/>
      <c r="BHT2" s="85"/>
      <c r="BHU2" s="85"/>
      <c r="BHV2" s="85"/>
      <c r="BHW2" s="85"/>
      <c r="BHX2" s="85"/>
      <c r="BHY2" s="85"/>
      <c r="BHZ2" s="85"/>
      <c r="BIA2" s="85"/>
      <c r="BIB2" s="85"/>
      <c r="BIC2" s="85"/>
      <c r="BID2" s="85"/>
      <c r="BIE2" s="85"/>
      <c r="BIF2" s="85"/>
      <c r="BIG2" s="85"/>
      <c r="BIH2" s="85"/>
      <c r="BII2" s="85"/>
      <c r="BIJ2" s="85"/>
      <c r="BIK2" s="85"/>
      <c r="BIL2" s="85"/>
      <c r="BIM2" s="85"/>
      <c r="BIN2" s="85"/>
      <c r="BIO2" s="85"/>
      <c r="BIP2" s="85"/>
      <c r="BIQ2" s="85"/>
      <c r="BIR2" s="85"/>
      <c r="BIS2" s="85"/>
      <c r="BIT2" s="85"/>
      <c r="BIU2" s="85"/>
      <c r="BIV2" s="85"/>
      <c r="BIW2" s="85"/>
      <c r="BIX2" s="85"/>
      <c r="BIY2" s="85"/>
      <c r="BIZ2" s="85"/>
      <c r="BJA2" s="85"/>
      <c r="BJB2" s="85"/>
      <c r="BJC2" s="85"/>
      <c r="BJD2" s="85"/>
      <c r="BJE2" s="85"/>
      <c r="BJF2" s="85"/>
      <c r="BJG2" s="85"/>
      <c r="BJH2" s="85"/>
      <c r="BJI2" s="85"/>
      <c r="BJJ2" s="85"/>
      <c r="BJK2" s="85"/>
      <c r="BJL2" s="85"/>
      <c r="BJM2" s="85"/>
      <c r="BJN2" s="85"/>
      <c r="BJO2" s="85"/>
      <c r="BJP2" s="85"/>
      <c r="BJQ2" s="85"/>
      <c r="BJR2" s="85"/>
      <c r="BJS2" s="85"/>
      <c r="BJT2" s="85"/>
      <c r="BJU2" s="85"/>
      <c r="BJV2" s="85"/>
      <c r="BJW2" s="85"/>
      <c r="BJX2" s="85"/>
      <c r="BJY2" s="85"/>
      <c r="BJZ2" s="85"/>
      <c r="BKA2" s="85"/>
      <c r="BKB2" s="85"/>
      <c r="BKC2" s="85"/>
      <c r="BKD2" s="85"/>
      <c r="BKE2" s="85"/>
      <c r="BKF2" s="85"/>
      <c r="BKG2" s="85"/>
      <c r="BKH2" s="85"/>
      <c r="BKI2" s="85"/>
      <c r="BKJ2" s="85"/>
      <c r="BKK2" s="85"/>
      <c r="BKL2" s="85"/>
      <c r="BKM2" s="85"/>
      <c r="BKN2" s="85"/>
      <c r="BKO2" s="85"/>
      <c r="BKP2" s="85"/>
      <c r="BKQ2" s="85"/>
      <c r="BKR2" s="85"/>
      <c r="BKS2" s="85"/>
      <c r="BKT2" s="85"/>
      <c r="BKU2" s="85"/>
      <c r="BKV2" s="85"/>
      <c r="BKW2" s="85"/>
      <c r="BKX2" s="85"/>
      <c r="BKY2" s="85"/>
      <c r="BKZ2" s="85"/>
      <c r="BLA2" s="85"/>
      <c r="BLB2" s="85"/>
      <c r="BLC2" s="85"/>
      <c r="BLD2" s="85"/>
      <c r="BLE2" s="85"/>
      <c r="BLF2" s="85"/>
      <c r="BLG2" s="85"/>
      <c r="BLH2" s="85"/>
      <c r="BLI2" s="85"/>
      <c r="BLJ2" s="85"/>
      <c r="BLK2" s="85"/>
      <c r="BLL2" s="85"/>
      <c r="BLM2" s="85"/>
      <c r="BLN2" s="85"/>
      <c r="BLO2" s="85"/>
      <c r="BLP2" s="85"/>
      <c r="BLQ2" s="85"/>
      <c r="BLR2" s="85"/>
      <c r="BLS2" s="85"/>
      <c r="BLT2" s="85"/>
      <c r="BLU2" s="85"/>
      <c r="BLV2" s="85"/>
      <c r="BLW2" s="85"/>
      <c r="BLX2" s="85"/>
      <c r="BLY2" s="85"/>
      <c r="BLZ2" s="85"/>
      <c r="BMA2" s="85"/>
      <c r="BMB2" s="85"/>
      <c r="BMC2" s="85"/>
      <c r="BMD2" s="85"/>
      <c r="BME2" s="85"/>
      <c r="BMF2" s="85"/>
      <c r="BMG2" s="85"/>
      <c r="BMH2" s="85"/>
      <c r="BMI2" s="85"/>
      <c r="BMJ2" s="85"/>
      <c r="BMK2" s="85"/>
      <c r="BML2" s="85"/>
      <c r="BMM2" s="85"/>
      <c r="BMN2" s="85"/>
      <c r="BMO2" s="85"/>
      <c r="BMP2" s="85"/>
      <c r="BMQ2" s="85"/>
      <c r="BMR2" s="85"/>
      <c r="BMS2" s="85"/>
      <c r="BMT2" s="85"/>
      <c r="BMU2" s="85"/>
      <c r="BMV2" s="85"/>
      <c r="BMW2" s="85"/>
      <c r="BMX2" s="85"/>
      <c r="BMY2" s="85"/>
      <c r="BMZ2" s="85"/>
      <c r="BNA2" s="85"/>
      <c r="BNB2" s="85"/>
      <c r="BNC2" s="85"/>
      <c r="BND2" s="85"/>
      <c r="BNE2" s="85"/>
      <c r="BNF2" s="85"/>
      <c r="BNG2" s="85"/>
      <c r="BNH2" s="85"/>
      <c r="BNI2" s="85"/>
      <c r="BNJ2" s="85"/>
      <c r="BNK2" s="85"/>
      <c r="BNL2" s="85"/>
      <c r="BNM2" s="85"/>
      <c r="BNN2" s="85"/>
      <c r="BNO2" s="85"/>
      <c r="BNP2" s="85"/>
      <c r="BNQ2" s="85"/>
      <c r="BNR2" s="85"/>
      <c r="BNS2" s="85"/>
      <c r="BNT2" s="85"/>
      <c r="BNU2" s="85"/>
      <c r="BNV2" s="85"/>
      <c r="BNW2" s="85"/>
      <c r="BNX2" s="85"/>
      <c r="BNY2" s="85"/>
      <c r="BNZ2" s="85"/>
      <c r="BOA2" s="85"/>
      <c r="BOB2" s="85"/>
      <c r="BOC2" s="85"/>
      <c r="BOD2" s="85"/>
      <c r="BOE2" s="85"/>
      <c r="BOF2" s="85"/>
      <c r="BOG2" s="85"/>
      <c r="BOH2" s="85"/>
      <c r="BOI2" s="85"/>
      <c r="BOJ2" s="85"/>
      <c r="BOK2" s="85"/>
      <c r="BOL2" s="85"/>
      <c r="BOM2" s="85"/>
      <c r="BON2" s="85"/>
      <c r="BOO2" s="85"/>
      <c r="BOP2" s="85"/>
      <c r="BOQ2" s="85"/>
      <c r="BOR2" s="85"/>
      <c r="BOS2" s="85"/>
      <c r="BOT2" s="85"/>
      <c r="BOU2" s="85"/>
      <c r="BOV2" s="85"/>
      <c r="BOW2" s="85"/>
      <c r="BOX2" s="85"/>
      <c r="BOY2" s="85"/>
      <c r="BOZ2" s="85"/>
      <c r="BPA2" s="85"/>
      <c r="BPB2" s="85"/>
      <c r="BPC2" s="85"/>
      <c r="BPD2" s="85"/>
      <c r="BPE2" s="85"/>
      <c r="BPF2" s="85"/>
      <c r="BPG2" s="85"/>
      <c r="BPH2" s="85"/>
      <c r="BPI2" s="85"/>
      <c r="BPJ2" s="85"/>
      <c r="BPK2" s="85"/>
      <c r="BPL2" s="85"/>
      <c r="BPM2" s="85"/>
      <c r="BPN2" s="85"/>
      <c r="BPO2" s="85"/>
      <c r="BPP2" s="85"/>
      <c r="BPQ2" s="85"/>
      <c r="BPR2" s="85"/>
      <c r="BPS2" s="85"/>
      <c r="BPT2" s="85"/>
      <c r="BPU2" s="85"/>
      <c r="BPV2" s="85"/>
      <c r="BPW2" s="85"/>
      <c r="BPX2" s="85"/>
      <c r="BPY2" s="85"/>
      <c r="BPZ2" s="85"/>
      <c r="BQA2" s="85"/>
      <c r="BQB2" s="85"/>
      <c r="BQC2" s="85"/>
      <c r="BQD2" s="85"/>
      <c r="BQE2" s="85"/>
      <c r="BQF2" s="85"/>
      <c r="BQG2" s="85"/>
      <c r="BQH2" s="85"/>
      <c r="BQI2" s="85"/>
      <c r="BQJ2" s="85"/>
      <c r="BQK2" s="85"/>
      <c r="BQL2" s="85"/>
      <c r="BQM2" s="85"/>
      <c r="BQN2" s="85"/>
      <c r="BQO2" s="85"/>
      <c r="BQP2" s="85"/>
      <c r="BQQ2" s="85"/>
      <c r="BQR2" s="85"/>
      <c r="BQS2" s="85"/>
      <c r="BQT2" s="85"/>
      <c r="BQU2" s="85"/>
      <c r="BQV2" s="85"/>
      <c r="BQW2" s="85"/>
      <c r="BQX2" s="85"/>
      <c r="BQY2" s="85"/>
      <c r="BQZ2" s="85"/>
      <c r="BRA2" s="85"/>
      <c r="BRB2" s="85"/>
      <c r="BRC2" s="85"/>
      <c r="BRD2" s="85"/>
      <c r="BRE2" s="85"/>
      <c r="BRF2" s="85"/>
      <c r="BRG2" s="85"/>
      <c r="BRH2" s="85"/>
      <c r="BRI2" s="85"/>
      <c r="BRJ2" s="85"/>
      <c r="BRK2" s="85"/>
      <c r="BRL2" s="85"/>
      <c r="BRM2" s="85"/>
      <c r="BRN2" s="85"/>
      <c r="BRO2" s="85"/>
      <c r="BRP2" s="85"/>
      <c r="BRQ2" s="85"/>
      <c r="BRR2" s="85"/>
      <c r="BRS2" s="85"/>
      <c r="BRT2" s="85"/>
      <c r="BRU2" s="85"/>
      <c r="BRV2" s="85"/>
      <c r="BRW2" s="85"/>
      <c r="BRX2" s="85"/>
      <c r="BRY2" s="85"/>
      <c r="BRZ2" s="85"/>
      <c r="BSA2" s="85"/>
      <c r="BSB2" s="85"/>
      <c r="BSC2" s="85"/>
      <c r="BSD2" s="85"/>
      <c r="BSE2" s="85"/>
      <c r="BSF2" s="85"/>
      <c r="BSG2" s="85"/>
      <c r="BSH2" s="85"/>
      <c r="BSI2" s="85"/>
      <c r="BSJ2" s="85"/>
      <c r="BSK2" s="85"/>
      <c r="BSL2" s="85"/>
      <c r="BSM2" s="85"/>
      <c r="BSN2" s="85"/>
      <c r="BSO2" s="85"/>
      <c r="BSP2" s="85"/>
      <c r="BSQ2" s="85"/>
      <c r="BSR2" s="85"/>
      <c r="BSS2" s="85"/>
      <c r="BST2" s="85"/>
      <c r="BSU2" s="85"/>
      <c r="BSV2" s="85"/>
      <c r="BSW2" s="85"/>
      <c r="BSX2" s="85"/>
      <c r="BSY2" s="85"/>
      <c r="BSZ2" s="85"/>
      <c r="BTA2" s="85"/>
      <c r="BTB2" s="85"/>
      <c r="BTC2" s="85"/>
      <c r="BTD2" s="85"/>
      <c r="BTE2" s="85"/>
      <c r="BTF2" s="85"/>
      <c r="BTG2" s="85"/>
      <c r="BTH2" s="85"/>
      <c r="BTI2" s="85"/>
      <c r="BTJ2" s="85"/>
      <c r="BTK2" s="85"/>
      <c r="BTL2" s="85"/>
      <c r="BTM2" s="85"/>
      <c r="BTN2" s="85"/>
      <c r="BTO2" s="85"/>
      <c r="BTP2" s="85"/>
      <c r="BTQ2" s="85"/>
      <c r="BTR2" s="85"/>
      <c r="BTS2" s="85"/>
      <c r="BTT2" s="85"/>
      <c r="BTU2" s="85"/>
      <c r="BTV2" s="85"/>
      <c r="BTW2" s="85"/>
      <c r="BTX2" s="85"/>
      <c r="BTY2" s="85"/>
      <c r="BTZ2" s="85"/>
      <c r="BUA2" s="85"/>
      <c r="BUB2" s="85"/>
      <c r="BUC2" s="85"/>
      <c r="BUD2" s="85"/>
      <c r="BUE2" s="85"/>
      <c r="BUF2" s="85"/>
      <c r="BUG2" s="85"/>
      <c r="BUH2" s="85"/>
      <c r="BUI2" s="85"/>
      <c r="BUJ2" s="85"/>
      <c r="BUK2" s="85"/>
      <c r="BUL2" s="85"/>
      <c r="BUM2" s="85"/>
      <c r="BUN2" s="85"/>
      <c r="BUO2" s="85"/>
      <c r="BUP2" s="85"/>
      <c r="BUQ2" s="85"/>
      <c r="BUR2" s="85"/>
      <c r="BUS2" s="85"/>
      <c r="BUT2" s="85"/>
      <c r="BUU2" s="85"/>
      <c r="BUV2" s="85"/>
      <c r="BUW2" s="85"/>
      <c r="BUX2" s="85"/>
      <c r="BUY2" s="85"/>
      <c r="BUZ2" s="85"/>
      <c r="BVA2" s="85"/>
      <c r="BVB2" s="85"/>
      <c r="BVC2" s="85"/>
      <c r="BVD2" s="85"/>
      <c r="BVE2" s="85"/>
      <c r="BVF2" s="85"/>
      <c r="BVG2" s="85"/>
      <c r="BVH2" s="85"/>
      <c r="BVI2" s="85"/>
      <c r="BVJ2" s="85"/>
      <c r="BVK2" s="85"/>
      <c r="BVL2" s="85"/>
      <c r="BVM2" s="85"/>
      <c r="BVN2" s="85"/>
      <c r="BVO2" s="85"/>
      <c r="BVP2" s="85"/>
      <c r="BVQ2" s="85"/>
      <c r="BVR2" s="85"/>
      <c r="BVS2" s="85"/>
      <c r="BVT2" s="85"/>
      <c r="BVU2" s="85"/>
      <c r="BVV2" s="85"/>
      <c r="BVW2" s="85"/>
      <c r="BVX2" s="85"/>
      <c r="BVY2" s="85"/>
      <c r="BVZ2" s="85"/>
      <c r="BWA2" s="85"/>
      <c r="BWB2" s="85"/>
      <c r="BWC2" s="85"/>
      <c r="BWD2" s="85"/>
      <c r="BWE2" s="85"/>
      <c r="BWF2" s="85"/>
      <c r="BWG2" s="85"/>
      <c r="BWH2" s="85"/>
      <c r="BWI2" s="85"/>
      <c r="BWJ2" s="85"/>
      <c r="BWK2" s="85"/>
      <c r="BWL2" s="85"/>
      <c r="BWM2" s="85"/>
      <c r="BWN2" s="85"/>
      <c r="BWO2" s="85"/>
      <c r="BWP2" s="85"/>
      <c r="BWQ2" s="85"/>
      <c r="BWR2" s="85"/>
      <c r="BWS2" s="85"/>
      <c r="BWT2" s="85"/>
      <c r="BWU2" s="85"/>
      <c r="BWV2" s="85"/>
      <c r="BWW2" s="85"/>
      <c r="BWX2" s="85"/>
      <c r="BWY2" s="85"/>
      <c r="BWZ2" s="85"/>
      <c r="BXA2" s="85"/>
      <c r="BXB2" s="85"/>
      <c r="BXC2" s="85"/>
      <c r="BXD2" s="85"/>
      <c r="BXE2" s="85"/>
      <c r="BXF2" s="85"/>
      <c r="BXG2" s="85"/>
      <c r="BXH2" s="85"/>
      <c r="BXI2" s="85"/>
      <c r="BXJ2" s="85"/>
      <c r="BXK2" s="85"/>
      <c r="BXL2" s="85"/>
      <c r="BXM2" s="85"/>
      <c r="BXN2" s="85"/>
      <c r="BXO2" s="85"/>
      <c r="BXP2" s="85"/>
      <c r="BXQ2" s="85"/>
      <c r="BXR2" s="85"/>
      <c r="BXS2" s="85"/>
      <c r="BXT2" s="85"/>
      <c r="BXU2" s="85"/>
      <c r="BXV2" s="85"/>
      <c r="BXW2" s="85"/>
      <c r="BXX2" s="85"/>
      <c r="BXY2" s="85"/>
      <c r="BXZ2" s="85"/>
      <c r="BYA2" s="85"/>
      <c r="BYB2" s="85"/>
      <c r="BYC2" s="85"/>
      <c r="BYD2" s="85"/>
      <c r="BYE2" s="85"/>
      <c r="BYF2" s="85"/>
      <c r="BYG2" s="85"/>
      <c r="BYH2" s="85"/>
      <c r="BYI2" s="85"/>
      <c r="BYJ2" s="85"/>
      <c r="BYK2" s="85"/>
      <c r="BYL2" s="85"/>
      <c r="BYM2" s="85"/>
      <c r="BYN2" s="85"/>
      <c r="BYO2" s="85"/>
      <c r="BYP2" s="85"/>
      <c r="BYQ2" s="85"/>
      <c r="BYR2" s="85"/>
      <c r="BYS2" s="85"/>
      <c r="BYT2" s="85"/>
      <c r="BYU2" s="85"/>
      <c r="BYV2" s="85"/>
      <c r="BYW2" s="85"/>
      <c r="BYX2" s="85"/>
      <c r="BYY2" s="85"/>
      <c r="BYZ2" s="85"/>
      <c r="BZA2" s="85"/>
      <c r="BZB2" s="85"/>
      <c r="BZC2" s="85"/>
      <c r="BZD2" s="85"/>
      <c r="BZE2" s="85"/>
      <c r="BZF2" s="85"/>
      <c r="BZG2" s="85"/>
      <c r="BZH2" s="85"/>
      <c r="BZI2" s="85"/>
      <c r="BZJ2" s="85"/>
      <c r="BZK2" s="85"/>
      <c r="BZL2" s="85"/>
      <c r="BZM2" s="85"/>
      <c r="BZN2" s="85"/>
      <c r="BZO2" s="85"/>
      <c r="BZP2" s="85"/>
      <c r="BZQ2" s="85"/>
      <c r="BZR2" s="85"/>
      <c r="BZS2" s="85"/>
      <c r="BZT2" s="85"/>
      <c r="BZU2" s="85"/>
      <c r="BZV2" s="85"/>
      <c r="BZW2" s="85"/>
      <c r="BZX2" s="85"/>
      <c r="BZY2" s="85"/>
      <c r="BZZ2" s="85"/>
      <c r="CAA2" s="85"/>
      <c r="CAB2" s="85"/>
      <c r="CAC2" s="85"/>
      <c r="CAD2" s="85"/>
      <c r="CAE2" s="85"/>
      <c r="CAF2" s="85"/>
      <c r="CAG2" s="85"/>
      <c r="CAH2" s="85"/>
      <c r="CAI2" s="85"/>
      <c r="CAJ2" s="85"/>
      <c r="CAK2" s="85"/>
      <c r="CAL2" s="85"/>
      <c r="CAM2" s="85"/>
      <c r="CAN2" s="85"/>
      <c r="CAO2" s="85"/>
      <c r="CAP2" s="85"/>
      <c r="CAQ2" s="85"/>
      <c r="CAR2" s="85"/>
      <c r="CAS2" s="85"/>
      <c r="CAT2" s="85"/>
      <c r="CAU2" s="85"/>
      <c r="CAV2" s="85"/>
      <c r="CAW2" s="85"/>
      <c r="CAX2" s="85"/>
      <c r="CAY2" s="85"/>
      <c r="CAZ2" s="85"/>
      <c r="CBA2" s="85"/>
      <c r="CBB2" s="85"/>
      <c r="CBC2" s="85"/>
      <c r="CBD2" s="85"/>
      <c r="CBE2" s="85"/>
      <c r="CBF2" s="85"/>
      <c r="CBG2" s="85"/>
      <c r="CBH2" s="85"/>
      <c r="CBI2" s="85"/>
      <c r="CBJ2" s="85"/>
      <c r="CBK2" s="85"/>
      <c r="CBL2" s="85"/>
      <c r="CBM2" s="85"/>
      <c r="CBN2" s="85"/>
      <c r="CBO2" s="85"/>
      <c r="CBP2" s="85"/>
      <c r="CBQ2" s="85"/>
      <c r="CBR2" s="85"/>
      <c r="CBS2" s="85"/>
      <c r="CBT2" s="85"/>
      <c r="CBU2" s="85"/>
      <c r="CBV2" s="85"/>
      <c r="CBW2" s="85"/>
      <c r="CBX2" s="85"/>
      <c r="CBY2" s="85"/>
      <c r="CBZ2" s="85"/>
      <c r="CCA2" s="85"/>
      <c r="CCB2" s="85"/>
      <c r="CCC2" s="85"/>
      <c r="CCD2" s="85"/>
      <c r="CCE2" s="85"/>
      <c r="CCF2" s="85"/>
      <c r="CCG2" s="85"/>
      <c r="CCH2" s="85"/>
      <c r="CCI2" s="85"/>
      <c r="CCJ2" s="85"/>
      <c r="CCK2" s="85"/>
      <c r="CCL2" s="85"/>
      <c r="CCM2" s="85"/>
      <c r="CCN2" s="85"/>
      <c r="CCO2" s="85"/>
      <c r="CCP2" s="85"/>
      <c r="CCQ2" s="85"/>
      <c r="CCR2" s="85"/>
      <c r="CCS2" s="85"/>
      <c r="CCT2" s="85"/>
      <c r="CCU2" s="85"/>
      <c r="CCV2" s="85"/>
      <c r="CCW2" s="85"/>
      <c r="CCX2" s="85"/>
      <c r="CCY2" s="85"/>
      <c r="CCZ2" s="85"/>
      <c r="CDA2" s="85"/>
      <c r="CDB2" s="85"/>
      <c r="CDC2" s="85"/>
      <c r="CDD2" s="85"/>
      <c r="CDE2" s="85"/>
      <c r="CDF2" s="85"/>
      <c r="CDG2" s="85"/>
      <c r="CDH2" s="85"/>
      <c r="CDI2" s="85"/>
      <c r="CDJ2" s="85"/>
      <c r="CDK2" s="85"/>
      <c r="CDL2" s="85"/>
      <c r="CDM2" s="85"/>
      <c r="CDN2" s="85"/>
      <c r="CDO2" s="85"/>
      <c r="CDP2" s="85"/>
      <c r="CDQ2" s="85"/>
      <c r="CDR2" s="85"/>
      <c r="CDS2" s="85"/>
      <c r="CDT2" s="85"/>
      <c r="CDU2" s="85"/>
      <c r="CDV2" s="85"/>
      <c r="CDW2" s="85"/>
      <c r="CDX2" s="85"/>
      <c r="CDY2" s="85"/>
      <c r="CDZ2" s="85"/>
      <c r="CEA2" s="85"/>
      <c r="CEB2" s="85"/>
      <c r="CEC2" s="85"/>
      <c r="CED2" s="85"/>
      <c r="CEE2" s="85"/>
      <c r="CEF2" s="85"/>
      <c r="CEG2" s="85"/>
      <c r="CEH2" s="85"/>
      <c r="CEI2" s="85"/>
      <c r="CEJ2" s="85"/>
      <c r="CEK2" s="85"/>
      <c r="CEL2" s="85"/>
      <c r="CEM2" s="85"/>
      <c r="CEN2" s="85"/>
      <c r="CEO2" s="85"/>
      <c r="CEP2" s="85"/>
      <c r="CEQ2" s="85"/>
      <c r="CER2" s="85"/>
      <c r="CES2" s="85"/>
      <c r="CET2" s="85"/>
      <c r="CEU2" s="85"/>
      <c r="CEV2" s="85"/>
      <c r="CEW2" s="85"/>
      <c r="CEX2" s="85"/>
      <c r="CEY2" s="85"/>
      <c r="CEZ2" s="85"/>
      <c r="CFA2" s="85"/>
      <c r="CFB2" s="85"/>
      <c r="CFC2" s="85"/>
      <c r="CFD2" s="85"/>
      <c r="CFE2" s="85"/>
      <c r="CFF2" s="85"/>
      <c r="CFG2" s="85"/>
      <c r="CFH2" s="85"/>
      <c r="CFI2" s="85"/>
      <c r="CFJ2" s="85"/>
      <c r="CFK2" s="85"/>
      <c r="CFL2" s="85"/>
      <c r="CFM2" s="85"/>
      <c r="CFN2" s="85"/>
      <c r="CFO2" s="85"/>
      <c r="CFP2" s="85"/>
      <c r="CFQ2" s="85"/>
      <c r="CFR2" s="85"/>
      <c r="CFS2" s="85"/>
      <c r="CFT2" s="85"/>
      <c r="CFU2" s="85"/>
      <c r="CFV2" s="85"/>
      <c r="CFW2" s="85"/>
      <c r="CFX2" s="85"/>
      <c r="CFY2" s="85"/>
      <c r="CFZ2" s="85"/>
      <c r="CGA2" s="85"/>
      <c r="CGB2" s="85"/>
      <c r="CGC2" s="85"/>
      <c r="CGD2" s="85"/>
      <c r="CGE2" s="85"/>
      <c r="CGF2" s="85"/>
      <c r="CGG2" s="85"/>
      <c r="CGH2" s="85"/>
      <c r="CGI2" s="85"/>
      <c r="CGJ2" s="85"/>
      <c r="CGK2" s="85"/>
      <c r="CGL2" s="85"/>
      <c r="CGM2" s="85"/>
      <c r="CGN2" s="85"/>
      <c r="CGO2" s="85"/>
      <c r="CGP2" s="85"/>
      <c r="CGQ2" s="85"/>
      <c r="CGR2" s="85"/>
      <c r="CGS2" s="85"/>
      <c r="CGT2" s="85"/>
      <c r="CGU2" s="85"/>
      <c r="CGV2" s="85"/>
      <c r="CGW2" s="85"/>
      <c r="CGX2" s="85"/>
      <c r="CGY2" s="85"/>
      <c r="CGZ2" s="85"/>
      <c r="CHA2" s="85"/>
      <c r="CHB2" s="85"/>
      <c r="CHC2" s="85"/>
      <c r="CHD2" s="85"/>
      <c r="CHE2" s="85"/>
      <c r="CHF2" s="85"/>
      <c r="CHG2" s="85"/>
      <c r="CHH2" s="85"/>
      <c r="CHI2" s="85"/>
      <c r="CHJ2" s="85"/>
      <c r="CHK2" s="85"/>
      <c r="CHL2" s="85"/>
      <c r="CHM2" s="85"/>
      <c r="CHN2" s="85"/>
      <c r="CHO2" s="85"/>
      <c r="CHP2" s="85"/>
      <c r="CHQ2" s="85"/>
      <c r="CHR2" s="85"/>
      <c r="CHS2" s="85"/>
      <c r="CHT2" s="85"/>
      <c r="CHU2" s="85"/>
      <c r="CHV2" s="85"/>
      <c r="CHW2" s="85"/>
      <c r="CHX2" s="85"/>
      <c r="CHY2" s="85"/>
      <c r="CHZ2" s="85"/>
      <c r="CIA2" s="85"/>
      <c r="CIB2" s="85"/>
      <c r="CIC2" s="85"/>
      <c r="CID2" s="85"/>
      <c r="CIE2" s="85"/>
      <c r="CIF2" s="85"/>
      <c r="CIG2" s="85"/>
      <c r="CIH2" s="85"/>
      <c r="CII2" s="85"/>
      <c r="CIJ2" s="85"/>
      <c r="CIK2" s="85"/>
      <c r="CIL2" s="85"/>
      <c r="CIM2" s="85"/>
      <c r="CIN2" s="85"/>
      <c r="CIO2" s="85"/>
      <c r="CIP2" s="85"/>
      <c r="CIQ2" s="85"/>
      <c r="CIR2" s="85"/>
      <c r="CIS2" s="85"/>
      <c r="CIT2" s="85"/>
      <c r="CIU2" s="85"/>
      <c r="CIV2" s="85"/>
      <c r="CIW2" s="85"/>
      <c r="CIX2" s="85"/>
      <c r="CIY2" s="85"/>
      <c r="CIZ2" s="85"/>
      <c r="CJA2" s="85"/>
      <c r="CJB2" s="85"/>
      <c r="CJC2" s="85"/>
      <c r="CJD2" s="85"/>
      <c r="CJE2" s="85"/>
      <c r="CJF2" s="85"/>
      <c r="CJG2" s="85"/>
      <c r="CJH2" s="85"/>
      <c r="CJI2" s="85"/>
      <c r="CJJ2" s="85"/>
      <c r="CJK2" s="85"/>
      <c r="CJL2" s="85"/>
      <c r="CJM2" s="85"/>
      <c r="CJN2" s="85"/>
      <c r="CJO2" s="85"/>
      <c r="CJP2" s="85"/>
      <c r="CJQ2" s="85"/>
      <c r="CJR2" s="85"/>
      <c r="CJS2" s="85"/>
      <c r="CJT2" s="85"/>
      <c r="CJU2" s="85"/>
      <c r="CJV2" s="85"/>
      <c r="CJW2" s="85"/>
      <c r="CJX2" s="85"/>
      <c r="CJY2" s="85"/>
      <c r="CJZ2" s="85"/>
      <c r="CKA2" s="85"/>
      <c r="CKB2" s="85"/>
      <c r="CKC2" s="85"/>
      <c r="CKD2" s="85"/>
      <c r="CKE2" s="85"/>
      <c r="CKF2" s="85"/>
      <c r="CKG2" s="85"/>
      <c r="CKH2" s="85"/>
      <c r="CKI2" s="85"/>
      <c r="CKJ2" s="85"/>
      <c r="CKK2" s="85"/>
      <c r="CKL2" s="85"/>
      <c r="CKM2" s="85"/>
      <c r="CKN2" s="85"/>
      <c r="CKO2" s="85"/>
      <c r="CKP2" s="85"/>
      <c r="CKQ2" s="85"/>
      <c r="CKR2" s="85"/>
      <c r="CKS2" s="85"/>
      <c r="CKT2" s="85"/>
      <c r="CKU2" s="85"/>
      <c r="CKV2" s="85"/>
      <c r="CKW2" s="85"/>
      <c r="CKX2" s="85"/>
      <c r="CKY2" s="85"/>
      <c r="CKZ2" s="85"/>
      <c r="CLA2" s="85"/>
      <c r="CLB2" s="85"/>
      <c r="CLC2" s="85"/>
      <c r="CLD2" s="85"/>
      <c r="CLE2" s="85"/>
      <c r="CLF2" s="85"/>
      <c r="CLG2" s="85"/>
      <c r="CLH2" s="85"/>
      <c r="CLI2" s="85"/>
      <c r="CLJ2" s="85"/>
      <c r="CLK2" s="85"/>
      <c r="CLL2" s="85"/>
      <c r="CLM2" s="85"/>
      <c r="CLN2" s="85"/>
      <c r="CLO2" s="85"/>
      <c r="CLP2" s="85"/>
      <c r="CLQ2" s="85"/>
      <c r="CLR2" s="85"/>
      <c r="CLS2" s="85"/>
      <c r="CLT2" s="85"/>
      <c r="CLU2" s="85"/>
      <c r="CLV2" s="85"/>
      <c r="CLW2" s="85"/>
      <c r="CLX2" s="85"/>
      <c r="CLY2" s="85"/>
      <c r="CLZ2" s="85"/>
      <c r="CMA2" s="85"/>
      <c r="CMB2" s="85"/>
      <c r="CMC2" s="85"/>
      <c r="CMD2" s="85"/>
      <c r="CME2" s="85"/>
      <c r="CMF2" s="85"/>
      <c r="CMG2" s="85"/>
      <c r="CMH2" s="85"/>
      <c r="CMI2" s="85"/>
      <c r="CMJ2" s="85"/>
      <c r="CMK2" s="85"/>
      <c r="CML2" s="85"/>
      <c r="CMM2" s="85"/>
      <c r="CMN2" s="85"/>
      <c r="CMO2" s="85"/>
      <c r="CMP2" s="85"/>
      <c r="CMQ2" s="85"/>
      <c r="CMR2" s="85"/>
      <c r="CMS2" s="85"/>
      <c r="CMT2" s="85"/>
      <c r="CMU2" s="85"/>
      <c r="CMV2" s="85"/>
      <c r="CMW2" s="85"/>
      <c r="CMX2" s="85"/>
      <c r="CMY2" s="85"/>
      <c r="CMZ2" s="85"/>
      <c r="CNA2" s="85"/>
      <c r="CNB2" s="85"/>
      <c r="CNC2" s="85"/>
      <c r="CND2" s="85"/>
      <c r="CNE2" s="85"/>
      <c r="CNF2" s="85"/>
      <c r="CNG2" s="85"/>
      <c r="CNH2" s="85"/>
      <c r="CNI2" s="85"/>
      <c r="CNJ2" s="85"/>
      <c r="CNK2" s="85"/>
      <c r="CNL2" s="85"/>
      <c r="CNM2" s="85"/>
      <c r="CNN2" s="85"/>
      <c r="CNO2" s="85"/>
      <c r="CNP2" s="85"/>
      <c r="CNQ2" s="85"/>
      <c r="CNR2" s="85"/>
      <c r="CNS2" s="85"/>
      <c r="CNT2" s="85"/>
      <c r="CNU2" s="85"/>
      <c r="CNV2" s="85"/>
      <c r="CNW2" s="85"/>
      <c r="CNX2" s="85"/>
      <c r="CNY2" s="85"/>
      <c r="CNZ2" s="85"/>
      <c r="COA2" s="85"/>
      <c r="COB2" s="85"/>
      <c r="COC2" s="85"/>
      <c r="COD2" s="85"/>
      <c r="COE2" s="85"/>
      <c r="COF2" s="85"/>
      <c r="COG2" s="85"/>
      <c r="COH2" s="85"/>
      <c r="COI2" s="85"/>
      <c r="COJ2" s="85"/>
      <c r="COK2" s="85"/>
      <c r="COL2" s="85"/>
      <c r="COM2" s="85"/>
      <c r="CON2" s="85"/>
      <c r="COO2" s="85"/>
      <c r="COP2" s="85"/>
      <c r="COQ2" s="85"/>
      <c r="COR2" s="85"/>
      <c r="COS2" s="85"/>
      <c r="COT2" s="85"/>
      <c r="COU2" s="85"/>
      <c r="COV2" s="85"/>
      <c r="COW2" s="85"/>
      <c r="COX2" s="85"/>
      <c r="COY2" s="85"/>
      <c r="COZ2" s="85"/>
      <c r="CPA2" s="85"/>
      <c r="CPB2" s="85"/>
      <c r="CPC2" s="85"/>
      <c r="CPD2" s="85"/>
      <c r="CPE2" s="85"/>
      <c r="CPF2" s="85"/>
      <c r="CPG2" s="85"/>
      <c r="CPH2" s="85"/>
      <c r="CPI2" s="85"/>
      <c r="CPJ2" s="85"/>
      <c r="CPK2" s="85"/>
      <c r="CPL2" s="85"/>
      <c r="CPM2" s="85"/>
      <c r="CPN2" s="85"/>
      <c r="CPO2" s="85"/>
      <c r="CPP2" s="85"/>
      <c r="CPQ2" s="85"/>
      <c r="CPR2" s="85"/>
      <c r="CPS2" s="85"/>
      <c r="CPT2" s="85"/>
      <c r="CPU2" s="85"/>
      <c r="CPV2" s="85"/>
      <c r="CPW2" s="85"/>
      <c r="CPX2" s="85"/>
      <c r="CPY2" s="85"/>
      <c r="CPZ2" s="85"/>
      <c r="CQA2" s="85"/>
      <c r="CQB2" s="85"/>
      <c r="CQC2" s="85"/>
      <c r="CQD2" s="85"/>
      <c r="CQE2" s="85"/>
      <c r="CQF2" s="85"/>
      <c r="CQG2" s="85"/>
      <c r="CQH2" s="85"/>
      <c r="CQI2" s="85"/>
      <c r="CQJ2" s="85"/>
      <c r="CQK2" s="85"/>
      <c r="CQL2" s="85"/>
      <c r="CQM2" s="85"/>
      <c r="CQN2" s="85"/>
      <c r="CQO2" s="85"/>
      <c r="CQP2" s="85"/>
      <c r="CQQ2" s="85"/>
      <c r="CQR2" s="85"/>
      <c r="CQS2" s="85"/>
      <c r="CQT2" s="85"/>
      <c r="CQU2" s="85"/>
      <c r="CQV2" s="85"/>
      <c r="CQW2" s="85"/>
      <c r="CQX2" s="85"/>
      <c r="CQY2" s="85"/>
      <c r="CQZ2" s="85"/>
      <c r="CRA2" s="85"/>
      <c r="CRB2" s="85"/>
      <c r="CRC2" s="85"/>
      <c r="CRD2" s="85"/>
      <c r="CRE2" s="85"/>
      <c r="CRF2" s="85"/>
      <c r="CRG2" s="85"/>
      <c r="CRH2" s="85"/>
      <c r="CRI2" s="85"/>
      <c r="CRJ2" s="85"/>
      <c r="CRK2" s="85"/>
      <c r="CRL2" s="85"/>
      <c r="CRM2" s="85"/>
      <c r="CRN2" s="85"/>
      <c r="CRO2" s="85"/>
      <c r="CRP2" s="85"/>
      <c r="CRQ2" s="85"/>
      <c r="CRR2" s="85"/>
      <c r="CRS2" s="85"/>
      <c r="CRT2" s="85"/>
      <c r="CRU2" s="85"/>
      <c r="CRV2" s="85"/>
      <c r="CRW2" s="85"/>
      <c r="CRX2" s="85"/>
      <c r="CRY2" s="85"/>
      <c r="CRZ2" s="85"/>
      <c r="CSA2" s="85"/>
      <c r="CSB2" s="85"/>
      <c r="CSC2" s="85"/>
      <c r="CSD2" s="85"/>
      <c r="CSE2" s="85"/>
      <c r="CSF2" s="85"/>
      <c r="CSG2" s="85"/>
      <c r="CSH2" s="85"/>
      <c r="CSI2" s="85"/>
      <c r="CSJ2" s="85"/>
      <c r="CSK2" s="85"/>
      <c r="CSL2" s="85"/>
      <c r="CSM2" s="85"/>
      <c r="CSN2" s="85"/>
      <c r="CSO2" s="85"/>
      <c r="CSP2" s="85"/>
      <c r="CSQ2" s="85"/>
      <c r="CSR2" s="85"/>
      <c r="CSS2" s="85"/>
      <c r="CST2" s="85"/>
      <c r="CSU2" s="85"/>
      <c r="CSV2" s="85"/>
      <c r="CSW2" s="85"/>
      <c r="CSX2" s="85"/>
      <c r="CSY2" s="85"/>
      <c r="CSZ2" s="85"/>
      <c r="CTA2" s="85"/>
      <c r="CTB2" s="85"/>
      <c r="CTC2" s="85"/>
      <c r="CTD2" s="85"/>
      <c r="CTE2" s="85"/>
      <c r="CTF2" s="85"/>
      <c r="CTG2" s="85"/>
      <c r="CTH2" s="85"/>
      <c r="CTI2" s="85"/>
      <c r="CTJ2" s="85"/>
      <c r="CTK2" s="85"/>
      <c r="CTL2" s="85"/>
      <c r="CTM2" s="85"/>
      <c r="CTN2" s="85"/>
      <c r="CTO2" s="85"/>
      <c r="CTP2" s="85"/>
      <c r="CTQ2" s="85"/>
      <c r="CTR2" s="85"/>
      <c r="CTS2" s="85"/>
      <c r="CTT2" s="85"/>
      <c r="CTU2" s="85"/>
      <c r="CTV2" s="85"/>
      <c r="CTW2" s="85"/>
      <c r="CTX2" s="85"/>
      <c r="CTY2" s="85"/>
      <c r="CTZ2" s="85"/>
      <c r="CUA2" s="85"/>
      <c r="CUB2" s="85"/>
      <c r="CUC2" s="85"/>
      <c r="CUD2" s="85"/>
      <c r="CUE2" s="85"/>
      <c r="CUF2" s="85"/>
      <c r="CUG2" s="85"/>
      <c r="CUH2" s="85"/>
      <c r="CUI2" s="85"/>
      <c r="CUJ2" s="85"/>
      <c r="CUK2" s="85"/>
      <c r="CUL2" s="85"/>
      <c r="CUM2" s="85"/>
      <c r="CUN2" s="85"/>
      <c r="CUO2" s="85"/>
      <c r="CUP2" s="85"/>
      <c r="CUQ2" s="85"/>
      <c r="CUR2" s="85"/>
      <c r="CUS2" s="85"/>
      <c r="CUT2" s="85"/>
      <c r="CUU2" s="85"/>
      <c r="CUV2" s="85"/>
      <c r="CUW2" s="85"/>
      <c r="CUX2" s="85"/>
      <c r="CUY2" s="85"/>
      <c r="CUZ2" s="85"/>
      <c r="CVA2" s="85"/>
      <c r="CVB2" s="85"/>
      <c r="CVC2" s="85"/>
      <c r="CVD2" s="85"/>
      <c r="CVE2" s="85"/>
      <c r="CVF2" s="85"/>
      <c r="CVG2" s="85"/>
      <c r="CVH2" s="85"/>
      <c r="CVI2" s="85"/>
      <c r="CVJ2" s="85"/>
      <c r="CVK2" s="85"/>
      <c r="CVL2" s="85"/>
      <c r="CVM2" s="85"/>
      <c r="CVN2" s="85"/>
      <c r="CVO2" s="85"/>
      <c r="CVP2" s="85"/>
      <c r="CVQ2" s="85"/>
      <c r="CVR2" s="85"/>
      <c r="CVS2" s="85"/>
      <c r="CVT2" s="85"/>
      <c r="CVU2" s="85"/>
      <c r="CVV2" s="85"/>
      <c r="CVW2" s="85"/>
      <c r="CVX2" s="85"/>
      <c r="CVY2" s="85"/>
      <c r="CVZ2" s="85"/>
      <c r="CWA2" s="85"/>
      <c r="CWB2" s="85"/>
      <c r="CWC2" s="85"/>
      <c r="CWD2" s="85"/>
      <c r="CWE2" s="85"/>
      <c r="CWF2" s="85"/>
      <c r="CWG2" s="85"/>
      <c r="CWH2" s="85"/>
      <c r="CWI2" s="85"/>
      <c r="CWJ2" s="85"/>
      <c r="CWK2" s="85"/>
      <c r="CWL2" s="85"/>
      <c r="CWM2" s="85"/>
      <c r="CWN2" s="85"/>
      <c r="CWO2" s="85"/>
      <c r="CWP2" s="85"/>
      <c r="CWQ2" s="85"/>
      <c r="CWR2" s="85"/>
      <c r="CWS2" s="85"/>
      <c r="CWT2" s="85"/>
      <c r="CWU2" s="85"/>
      <c r="CWV2" s="85"/>
      <c r="CWW2" s="85"/>
      <c r="CWX2" s="85"/>
      <c r="CWY2" s="85"/>
      <c r="CWZ2" s="85"/>
      <c r="CXA2" s="85"/>
      <c r="CXB2" s="85"/>
      <c r="CXC2" s="85"/>
      <c r="CXD2" s="85"/>
      <c r="CXE2" s="85"/>
      <c r="CXF2" s="85"/>
      <c r="CXG2" s="85"/>
      <c r="CXH2" s="85"/>
      <c r="CXI2" s="85"/>
      <c r="CXJ2" s="85"/>
      <c r="CXK2" s="85"/>
      <c r="CXL2" s="85"/>
      <c r="CXM2" s="85"/>
      <c r="CXN2" s="85"/>
      <c r="CXO2" s="85"/>
      <c r="CXP2" s="85"/>
      <c r="CXQ2" s="85"/>
      <c r="CXR2" s="85"/>
      <c r="CXS2" s="85"/>
      <c r="CXT2" s="85"/>
      <c r="CXU2" s="85"/>
      <c r="CXV2" s="85"/>
      <c r="CXW2" s="85"/>
      <c r="CXX2" s="85"/>
      <c r="CXY2" s="85"/>
      <c r="CXZ2" s="85"/>
      <c r="CYA2" s="85"/>
      <c r="CYB2" s="85"/>
      <c r="CYC2" s="85"/>
      <c r="CYD2" s="85"/>
      <c r="CYE2" s="85"/>
      <c r="CYF2" s="85"/>
      <c r="CYG2" s="85"/>
      <c r="CYH2" s="85"/>
      <c r="CYI2" s="85"/>
      <c r="CYJ2" s="85"/>
      <c r="CYK2" s="85"/>
      <c r="CYL2" s="85"/>
      <c r="CYM2" s="85"/>
      <c r="CYN2" s="85"/>
      <c r="CYO2" s="85"/>
      <c r="CYP2" s="85"/>
      <c r="CYQ2" s="85"/>
      <c r="CYR2" s="85"/>
      <c r="CYS2" s="85"/>
      <c r="CYT2" s="85"/>
      <c r="CYU2" s="85"/>
      <c r="CYV2" s="85"/>
      <c r="CYW2" s="85"/>
      <c r="CYX2" s="85"/>
      <c r="CYY2" s="85"/>
      <c r="CYZ2" s="85"/>
      <c r="CZA2" s="85"/>
      <c r="CZB2" s="85"/>
      <c r="CZC2" s="85"/>
      <c r="CZD2" s="85"/>
      <c r="CZE2" s="85"/>
      <c r="CZF2" s="85"/>
      <c r="CZG2" s="85"/>
      <c r="CZH2" s="85"/>
      <c r="CZI2" s="85"/>
      <c r="CZJ2" s="85"/>
      <c r="CZK2" s="85"/>
      <c r="CZL2" s="85"/>
      <c r="CZM2" s="85"/>
      <c r="CZN2" s="85"/>
      <c r="CZO2" s="85"/>
      <c r="CZP2" s="85"/>
      <c r="CZQ2" s="85"/>
      <c r="CZR2" s="85"/>
      <c r="CZS2" s="85"/>
      <c r="CZT2" s="85"/>
      <c r="CZU2" s="85"/>
      <c r="CZV2" s="85"/>
      <c r="CZW2" s="85"/>
      <c r="CZX2" s="85"/>
      <c r="CZY2" s="85"/>
      <c r="CZZ2" s="85"/>
      <c r="DAA2" s="85"/>
      <c r="DAB2" s="85"/>
      <c r="DAC2" s="85"/>
      <c r="DAD2" s="85"/>
      <c r="DAE2" s="85"/>
      <c r="DAF2" s="85"/>
      <c r="DAG2" s="85"/>
      <c r="DAH2" s="85"/>
      <c r="DAI2" s="85"/>
      <c r="DAJ2" s="85"/>
      <c r="DAK2" s="85"/>
      <c r="DAL2" s="85"/>
      <c r="DAM2" s="85"/>
      <c r="DAN2" s="85"/>
      <c r="DAO2" s="85"/>
      <c r="DAP2" s="85"/>
      <c r="DAQ2" s="85"/>
      <c r="DAR2" s="85"/>
      <c r="DAS2" s="85"/>
      <c r="DAT2" s="85"/>
      <c r="DAU2" s="85"/>
      <c r="DAV2" s="85"/>
      <c r="DAW2" s="85"/>
      <c r="DAX2" s="85"/>
      <c r="DAY2" s="85"/>
      <c r="DAZ2" s="85"/>
      <c r="DBA2" s="85"/>
      <c r="DBB2" s="85"/>
      <c r="DBC2" s="85"/>
      <c r="DBD2" s="85"/>
      <c r="DBE2" s="85"/>
      <c r="DBF2" s="85"/>
      <c r="DBG2" s="85"/>
      <c r="DBH2" s="85"/>
      <c r="DBI2" s="85"/>
      <c r="DBJ2" s="85"/>
      <c r="DBK2" s="85"/>
      <c r="DBL2" s="85"/>
      <c r="DBM2" s="85"/>
      <c r="DBN2" s="85"/>
      <c r="DBO2" s="85"/>
      <c r="DBP2" s="85"/>
      <c r="DBQ2" s="85"/>
      <c r="DBR2" s="85"/>
      <c r="DBS2" s="85"/>
      <c r="DBT2" s="85"/>
      <c r="DBU2" s="85"/>
      <c r="DBV2" s="85"/>
      <c r="DBW2" s="85"/>
      <c r="DBX2" s="85"/>
      <c r="DBY2" s="85"/>
      <c r="DBZ2" s="85"/>
      <c r="DCA2" s="85"/>
      <c r="DCB2" s="85"/>
      <c r="DCC2" s="85"/>
      <c r="DCD2" s="85"/>
      <c r="DCE2" s="85"/>
      <c r="DCF2" s="85"/>
      <c r="DCG2" s="85"/>
      <c r="DCH2" s="85"/>
      <c r="DCI2" s="85"/>
      <c r="DCJ2" s="85"/>
      <c r="DCK2" s="85"/>
      <c r="DCL2" s="85"/>
      <c r="DCM2" s="85"/>
      <c r="DCN2" s="85"/>
      <c r="DCO2" s="85"/>
      <c r="DCP2" s="85"/>
      <c r="DCQ2" s="85"/>
      <c r="DCR2" s="85"/>
      <c r="DCS2" s="85"/>
      <c r="DCT2" s="85"/>
      <c r="DCU2" s="85"/>
      <c r="DCV2" s="85"/>
      <c r="DCW2" s="85"/>
      <c r="DCX2" s="85"/>
      <c r="DCY2" s="85"/>
      <c r="DCZ2" s="85"/>
      <c r="DDA2" s="85"/>
      <c r="DDB2" s="85"/>
      <c r="DDC2" s="85"/>
      <c r="DDD2" s="85"/>
      <c r="DDE2" s="85"/>
      <c r="DDF2" s="85"/>
      <c r="DDG2" s="85"/>
      <c r="DDH2" s="85"/>
      <c r="DDI2" s="85"/>
      <c r="DDJ2" s="85"/>
      <c r="DDK2" s="85"/>
      <c r="DDL2" s="85"/>
      <c r="DDM2" s="85"/>
      <c r="DDN2" s="85"/>
      <c r="DDO2" s="85"/>
      <c r="DDP2" s="85"/>
      <c r="DDQ2" s="85"/>
      <c r="DDR2" s="85"/>
      <c r="DDS2" s="85"/>
      <c r="DDT2" s="85"/>
      <c r="DDU2" s="85"/>
      <c r="DDV2" s="85"/>
      <c r="DDW2" s="85"/>
      <c r="DDX2" s="85"/>
      <c r="DDY2" s="85"/>
      <c r="DDZ2" s="85"/>
      <c r="DEA2" s="85"/>
      <c r="DEB2" s="85"/>
      <c r="DEC2" s="85"/>
      <c r="DED2" s="85"/>
      <c r="DEE2" s="85"/>
      <c r="DEF2" s="85"/>
      <c r="DEG2" s="85"/>
      <c r="DEH2" s="85"/>
      <c r="DEI2" s="85"/>
      <c r="DEJ2" s="85"/>
      <c r="DEK2" s="85"/>
      <c r="DEL2" s="85"/>
      <c r="DEM2" s="85"/>
      <c r="DEN2" s="85"/>
      <c r="DEO2" s="85"/>
      <c r="DEP2" s="85"/>
      <c r="DEQ2" s="85"/>
      <c r="DER2" s="85"/>
      <c r="DES2" s="85"/>
      <c r="DET2" s="85"/>
      <c r="DEU2" s="85"/>
      <c r="DEV2" s="85"/>
      <c r="DEW2" s="85"/>
      <c r="DEX2" s="85"/>
      <c r="DEY2" s="85"/>
      <c r="DEZ2" s="85"/>
      <c r="DFA2" s="85"/>
      <c r="DFB2" s="85"/>
      <c r="DFC2" s="85"/>
      <c r="DFD2" s="85"/>
      <c r="DFE2" s="85"/>
      <c r="DFF2" s="85"/>
      <c r="DFG2" s="85"/>
      <c r="DFH2" s="85"/>
      <c r="DFI2" s="85"/>
      <c r="DFJ2" s="85"/>
      <c r="DFK2" s="85"/>
      <c r="DFL2" s="85"/>
      <c r="DFM2" s="85"/>
      <c r="DFN2" s="85"/>
      <c r="DFO2" s="85"/>
      <c r="DFP2" s="85"/>
      <c r="DFQ2" s="85"/>
      <c r="DFR2" s="85"/>
      <c r="DFS2" s="85"/>
      <c r="DFT2" s="85"/>
      <c r="DFU2" s="85"/>
      <c r="DFV2" s="85"/>
      <c r="DFW2" s="85"/>
      <c r="DFX2" s="85"/>
      <c r="DFY2" s="85"/>
      <c r="DFZ2" s="85"/>
      <c r="DGA2" s="85"/>
      <c r="DGB2" s="85"/>
      <c r="DGC2" s="85"/>
      <c r="DGD2" s="85"/>
      <c r="DGE2" s="85"/>
      <c r="DGF2" s="85"/>
      <c r="DGG2" s="85"/>
      <c r="DGH2" s="85"/>
      <c r="DGI2" s="85"/>
      <c r="DGJ2" s="85"/>
      <c r="DGK2" s="85"/>
      <c r="DGL2" s="85"/>
      <c r="DGM2" s="85"/>
      <c r="DGN2" s="85"/>
      <c r="DGO2" s="85"/>
      <c r="DGP2" s="85"/>
      <c r="DGQ2" s="85"/>
      <c r="DGR2" s="85"/>
      <c r="DGS2" s="85"/>
      <c r="DGT2" s="85"/>
      <c r="DGU2" s="85"/>
      <c r="DGV2" s="85"/>
      <c r="DGW2" s="85"/>
      <c r="DGX2" s="85"/>
      <c r="DGY2" s="85"/>
      <c r="DGZ2" s="85"/>
      <c r="DHA2" s="85"/>
      <c r="DHB2" s="85"/>
      <c r="DHC2" s="85"/>
      <c r="DHD2" s="85"/>
      <c r="DHE2" s="85"/>
      <c r="DHF2" s="85"/>
      <c r="DHG2" s="85"/>
      <c r="DHH2" s="85"/>
      <c r="DHI2" s="85"/>
      <c r="DHJ2" s="85"/>
      <c r="DHK2" s="85"/>
      <c r="DHL2" s="85"/>
      <c r="DHM2" s="85"/>
      <c r="DHN2" s="85"/>
      <c r="DHO2" s="85"/>
      <c r="DHP2" s="85"/>
      <c r="DHQ2" s="85"/>
      <c r="DHR2" s="85"/>
      <c r="DHS2" s="85"/>
      <c r="DHT2" s="85"/>
      <c r="DHU2" s="85"/>
      <c r="DHV2" s="85"/>
      <c r="DHW2" s="85"/>
      <c r="DHX2" s="85"/>
      <c r="DHY2" s="85"/>
      <c r="DHZ2" s="85"/>
      <c r="DIA2" s="85"/>
      <c r="DIB2" s="85"/>
      <c r="DIC2" s="85"/>
      <c r="DID2" s="85"/>
      <c r="DIE2" s="85"/>
      <c r="DIF2" s="85"/>
      <c r="DIG2" s="85"/>
      <c r="DIH2" s="85"/>
      <c r="DII2" s="85"/>
      <c r="DIJ2" s="85"/>
      <c r="DIK2" s="85"/>
      <c r="DIL2" s="85"/>
      <c r="DIM2" s="85"/>
      <c r="DIN2" s="85"/>
      <c r="DIO2" s="85"/>
      <c r="DIP2" s="85"/>
      <c r="DIQ2" s="85"/>
      <c r="DIR2" s="85"/>
      <c r="DIS2" s="85"/>
      <c r="DIT2" s="85"/>
      <c r="DIU2" s="85"/>
      <c r="DIV2" s="85"/>
      <c r="DIW2" s="85"/>
      <c r="DIX2" s="85"/>
      <c r="DIY2" s="85"/>
      <c r="DIZ2" s="85"/>
      <c r="DJA2" s="85"/>
      <c r="DJB2" s="85"/>
      <c r="DJC2" s="85"/>
      <c r="DJD2" s="85"/>
      <c r="DJE2" s="85"/>
      <c r="DJF2" s="85"/>
      <c r="DJG2" s="85"/>
      <c r="DJH2" s="85"/>
      <c r="DJI2" s="85"/>
      <c r="DJJ2" s="85"/>
      <c r="DJK2" s="85"/>
      <c r="DJL2" s="85"/>
      <c r="DJM2" s="85"/>
      <c r="DJN2" s="85"/>
      <c r="DJO2" s="85"/>
      <c r="DJP2" s="85"/>
      <c r="DJQ2" s="85"/>
      <c r="DJR2" s="85"/>
      <c r="DJS2" s="85"/>
      <c r="DJT2" s="85"/>
      <c r="DJU2" s="85"/>
      <c r="DJV2" s="85"/>
      <c r="DJW2" s="85"/>
      <c r="DJX2" s="85"/>
      <c r="DJY2" s="85"/>
      <c r="DJZ2" s="85"/>
      <c r="DKA2" s="85"/>
      <c r="DKB2" s="85"/>
      <c r="DKC2" s="85"/>
      <c r="DKD2" s="85"/>
      <c r="DKE2" s="85"/>
      <c r="DKF2" s="85"/>
      <c r="DKG2" s="85"/>
      <c r="DKH2" s="85"/>
      <c r="DKI2" s="85"/>
      <c r="DKJ2" s="85"/>
      <c r="DKK2" s="85"/>
      <c r="DKL2" s="85"/>
      <c r="DKM2" s="85"/>
      <c r="DKN2" s="85"/>
      <c r="DKO2" s="85"/>
      <c r="DKP2" s="85"/>
      <c r="DKQ2" s="85"/>
      <c r="DKR2" s="85"/>
      <c r="DKS2" s="85"/>
      <c r="DKT2" s="85"/>
      <c r="DKU2" s="85"/>
      <c r="DKV2" s="85"/>
      <c r="DKW2" s="85"/>
      <c r="DKX2" s="85"/>
      <c r="DKY2" s="85"/>
      <c r="DKZ2" s="85"/>
      <c r="DLA2" s="85"/>
      <c r="DLB2" s="85"/>
      <c r="DLC2" s="85"/>
      <c r="DLD2" s="85"/>
      <c r="DLE2" s="85"/>
      <c r="DLF2" s="85"/>
      <c r="DLG2" s="85"/>
      <c r="DLH2" s="85"/>
      <c r="DLI2" s="85"/>
      <c r="DLJ2" s="85"/>
      <c r="DLK2" s="85"/>
      <c r="DLL2" s="85"/>
      <c r="DLM2" s="85"/>
      <c r="DLN2" s="85"/>
      <c r="DLO2" s="85"/>
      <c r="DLP2" s="85"/>
      <c r="DLQ2" s="85"/>
      <c r="DLR2" s="85"/>
      <c r="DLS2" s="85"/>
      <c r="DLT2" s="85"/>
      <c r="DLU2" s="85"/>
      <c r="DLV2" s="85"/>
      <c r="DLW2" s="85"/>
      <c r="DLX2" s="85"/>
      <c r="DLY2" s="85"/>
      <c r="DLZ2" s="85"/>
      <c r="DMA2" s="85"/>
      <c r="DMB2" s="85"/>
      <c r="DMC2" s="85"/>
      <c r="DMD2" s="85"/>
      <c r="DME2" s="85"/>
      <c r="DMF2" s="85"/>
      <c r="DMG2" s="85"/>
      <c r="DMH2" s="85"/>
      <c r="DMI2" s="85"/>
      <c r="DMJ2" s="85"/>
      <c r="DMK2" s="85"/>
      <c r="DML2" s="85"/>
      <c r="DMM2" s="85"/>
      <c r="DMN2" s="85"/>
      <c r="DMO2" s="85"/>
      <c r="DMP2" s="85"/>
      <c r="DMQ2" s="85"/>
      <c r="DMR2" s="85"/>
      <c r="DMS2" s="85"/>
      <c r="DMT2" s="85"/>
      <c r="DMU2" s="85"/>
      <c r="DMV2" s="85"/>
      <c r="DMW2" s="85"/>
      <c r="DMX2" s="85"/>
      <c r="DMY2" s="85"/>
      <c r="DMZ2" s="85"/>
      <c r="DNA2" s="85"/>
      <c r="DNB2" s="85"/>
      <c r="DNC2" s="85"/>
      <c r="DND2" s="85"/>
      <c r="DNE2" s="85"/>
      <c r="DNF2" s="85"/>
      <c r="DNG2" s="85"/>
      <c r="DNH2" s="85"/>
      <c r="DNI2" s="85"/>
      <c r="DNJ2" s="85"/>
      <c r="DNK2" s="85"/>
      <c r="DNL2" s="85"/>
      <c r="DNM2" s="85"/>
      <c r="DNN2" s="85"/>
      <c r="DNO2" s="85"/>
      <c r="DNP2" s="85"/>
      <c r="DNQ2" s="85"/>
      <c r="DNR2" s="85"/>
      <c r="DNS2" s="85"/>
      <c r="DNT2" s="85"/>
      <c r="DNU2" s="85"/>
      <c r="DNV2" s="85"/>
      <c r="DNW2" s="85"/>
      <c r="DNX2" s="85"/>
      <c r="DNY2" s="85"/>
      <c r="DNZ2" s="85"/>
      <c r="DOA2" s="85"/>
      <c r="DOB2" s="85"/>
      <c r="DOC2" s="85"/>
      <c r="DOD2" s="85"/>
      <c r="DOE2" s="85"/>
      <c r="DOF2" s="85"/>
      <c r="DOG2" s="85"/>
      <c r="DOH2" s="85"/>
      <c r="DOI2" s="85"/>
      <c r="DOJ2" s="85"/>
      <c r="DOK2" s="85"/>
      <c r="DOL2" s="85"/>
      <c r="DOM2" s="85"/>
      <c r="DON2" s="85"/>
      <c r="DOO2" s="85"/>
      <c r="DOP2" s="85"/>
      <c r="DOQ2" s="85"/>
      <c r="DOR2" s="85"/>
      <c r="DOS2" s="85"/>
      <c r="DOT2" s="85"/>
      <c r="DOU2" s="85"/>
      <c r="DOV2" s="85"/>
      <c r="DOW2" s="85"/>
      <c r="DOX2" s="85"/>
      <c r="DOY2" s="85"/>
      <c r="DOZ2" s="85"/>
      <c r="DPA2" s="85"/>
      <c r="DPB2" s="85"/>
      <c r="DPC2" s="85"/>
      <c r="DPD2" s="85"/>
      <c r="DPE2" s="85"/>
      <c r="DPF2" s="85"/>
      <c r="DPG2" s="85"/>
      <c r="DPH2" s="85"/>
      <c r="DPI2" s="85"/>
      <c r="DPJ2" s="85"/>
      <c r="DPK2" s="85"/>
      <c r="DPL2" s="85"/>
      <c r="DPM2" s="85"/>
      <c r="DPN2" s="85"/>
      <c r="DPO2" s="85"/>
      <c r="DPP2" s="85"/>
      <c r="DPQ2" s="85"/>
      <c r="DPR2" s="85"/>
      <c r="DPS2" s="85"/>
      <c r="DPT2" s="85"/>
      <c r="DPU2" s="85"/>
      <c r="DPV2" s="85"/>
      <c r="DPW2" s="85"/>
      <c r="DPX2" s="85"/>
      <c r="DPY2" s="85"/>
      <c r="DPZ2" s="85"/>
      <c r="DQA2" s="85"/>
      <c r="DQB2" s="85"/>
      <c r="DQC2" s="85"/>
      <c r="DQD2" s="85"/>
      <c r="DQE2" s="85"/>
      <c r="DQF2" s="85"/>
      <c r="DQG2" s="85"/>
      <c r="DQH2" s="85"/>
      <c r="DQI2" s="85"/>
      <c r="DQJ2" s="85"/>
      <c r="DQK2" s="85"/>
      <c r="DQL2" s="85"/>
      <c r="DQM2" s="85"/>
      <c r="DQN2" s="85"/>
      <c r="DQO2" s="85"/>
      <c r="DQP2" s="85"/>
      <c r="DQQ2" s="85"/>
      <c r="DQR2" s="85"/>
      <c r="DQS2" s="85"/>
      <c r="DQT2" s="85"/>
      <c r="DQU2" s="85"/>
      <c r="DQV2" s="85"/>
      <c r="DQW2" s="85"/>
      <c r="DQX2" s="85"/>
      <c r="DQY2" s="85"/>
      <c r="DQZ2" s="85"/>
      <c r="DRA2" s="85"/>
      <c r="DRB2" s="85"/>
      <c r="DRC2" s="85"/>
      <c r="DRD2" s="85"/>
      <c r="DRE2" s="85"/>
      <c r="DRF2" s="85"/>
      <c r="DRG2" s="85"/>
      <c r="DRH2" s="85"/>
      <c r="DRI2" s="85"/>
      <c r="DRJ2" s="85"/>
      <c r="DRK2" s="85"/>
      <c r="DRL2" s="85"/>
      <c r="DRM2" s="85"/>
      <c r="DRN2" s="85"/>
      <c r="DRO2" s="85"/>
      <c r="DRP2" s="85"/>
      <c r="DRQ2" s="85"/>
      <c r="DRR2" s="85"/>
      <c r="DRS2" s="85"/>
      <c r="DRT2" s="85"/>
      <c r="DRU2" s="85"/>
      <c r="DRV2" s="85"/>
      <c r="DRW2" s="85"/>
      <c r="DRX2" s="85"/>
      <c r="DRY2" s="85"/>
      <c r="DRZ2" s="85"/>
      <c r="DSA2" s="85"/>
      <c r="DSB2" s="85"/>
      <c r="DSC2" s="85"/>
      <c r="DSD2" s="85"/>
      <c r="DSE2" s="85"/>
      <c r="DSF2" s="85"/>
      <c r="DSG2" s="85"/>
      <c r="DSH2" s="85"/>
      <c r="DSI2" s="85"/>
      <c r="DSJ2" s="85"/>
      <c r="DSK2" s="85"/>
      <c r="DSL2" s="85"/>
      <c r="DSM2" s="85"/>
      <c r="DSN2" s="85"/>
      <c r="DSO2" s="85"/>
      <c r="DSP2" s="85"/>
      <c r="DSQ2" s="85"/>
      <c r="DSR2" s="85"/>
      <c r="DSS2" s="85"/>
      <c r="DST2" s="85"/>
      <c r="DSU2" s="85"/>
      <c r="DSV2" s="85"/>
      <c r="DSW2" s="85"/>
      <c r="DSX2" s="85"/>
      <c r="DSY2" s="85"/>
      <c r="DSZ2" s="85"/>
      <c r="DTA2" s="85"/>
      <c r="DTB2" s="85"/>
      <c r="DTC2" s="85"/>
      <c r="DTD2" s="85"/>
      <c r="DTE2" s="85"/>
      <c r="DTF2" s="85"/>
      <c r="DTG2" s="85"/>
      <c r="DTH2" s="85"/>
      <c r="DTI2" s="85"/>
      <c r="DTJ2" s="85"/>
      <c r="DTK2" s="85"/>
      <c r="DTL2" s="85"/>
      <c r="DTM2" s="85"/>
      <c r="DTN2" s="85"/>
      <c r="DTO2" s="85"/>
      <c r="DTP2" s="85"/>
      <c r="DTQ2" s="85"/>
      <c r="DTR2" s="85"/>
      <c r="DTS2" s="85"/>
      <c r="DTT2" s="85"/>
      <c r="DTU2" s="85"/>
      <c r="DTV2" s="85"/>
      <c r="DTW2" s="85"/>
      <c r="DTX2" s="85"/>
      <c r="DTY2" s="85"/>
      <c r="DTZ2" s="85"/>
      <c r="DUA2" s="85"/>
      <c r="DUB2" s="85"/>
      <c r="DUC2" s="85"/>
      <c r="DUD2" s="85"/>
      <c r="DUE2" s="85"/>
      <c r="DUF2" s="85"/>
      <c r="DUG2" s="85"/>
      <c r="DUH2" s="85"/>
      <c r="DUI2" s="85"/>
      <c r="DUJ2" s="85"/>
      <c r="DUK2" s="85"/>
      <c r="DUL2" s="85"/>
      <c r="DUM2" s="85"/>
      <c r="DUN2" s="85"/>
      <c r="DUO2" s="85"/>
      <c r="DUP2" s="85"/>
      <c r="DUQ2" s="85"/>
      <c r="DUR2" s="85"/>
      <c r="DUS2" s="85"/>
      <c r="DUT2" s="85"/>
      <c r="DUU2" s="85"/>
      <c r="DUV2" s="85"/>
      <c r="DUW2" s="85"/>
      <c r="DUX2" s="85"/>
      <c r="DUY2" s="85"/>
      <c r="DUZ2" s="85"/>
      <c r="DVA2" s="85"/>
      <c r="DVB2" s="85"/>
      <c r="DVC2" s="85"/>
      <c r="DVD2" s="85"/>
      <c r="DVE2" s="85"/>
      <c r="DVF2" s="85"/>
      <c r="DVG2" s="85"/>
      <c r="DVH2" s="85"/>
      <c r="DVI2" s="85"/>
      <c r="DVJ2" s="85"/>
      <c r="DVK2" s="85"/>
      <c r="DVL2" s="85"/>
      <c r="DVM2" s="85"/>
      <c r="DVN2" s="85"/>
      <c r="DVO2" s="85"/>
      <c r="DVP2" s="85"/>
      <c r="DVQ2" s="85"/>
      <c r="DVR2" s="85"/>
      <c r="DVS2" s="85"/>
      <c r="DVT2" s="85"/>
      <c r="DVU2" s="85"/>
      <c r="DVV2" s="85"/>
      <c r="DVW2" s="85"/>
      <c r="DVX2" s="85"/>
      <c r="DVY2" s="85"/>
      <c r="DVZ2" s="85"/>
      <c r="DWA2" s="85"/>
      <c r="DWB2" s="85"/>
      <c r="DWC2" s="85"/>
      <c r="DWD2" s="85"/>
      <c r="DWE2" s="85"/>
      <c r="DWF2" s="85"/>
      <c r="DWG2" s="85"/>
      <c r="DWH2" s="85"/>
      <c r="DWI2" s="85"/>
      <c r="DWJ2" s="85"/>
      <c r="DWK2" s="85"/>
      <c r="DWL2" s="85"/>
      <c r="DWM2" s="85"/>
      <c r="DWN2" s="85"/>
      <c r="DWO2" s="85"/>
      <c r="DWP2" s="85"/>
      <c r="DWQ2" s="85"/>
      <c r="DWR2" s="85"/>
      <c r="DWS2" s="85"/>
      <c r="DWT2" s="85"/>
      <c r="DWU2" s="85"/>
      <c r="DWV2" s="85"/>
      <c r="DWW2" s="85"/>
      <c r="DWX2" s="85"/>
      <c r="DWY2" s="85"/>
      <c r="DWZ2" s="85"/>
      <c r="DXA2" s="85"/>
      <c r="DXB2" s="85"/>
      <c r="DXC2" s="85"/>
      <c r="DXD2" s="85"/>
      <c r="DXE2" s="85"/>
      <c r="DXF2" s="85"/>
      <c r="DXG2" s="85"/>
      <c r="DXH2" s="85"/>
      <c r="DXI2" s="85"/>
      <c r="DXJ2" s="85"/>
      <c r="DXK2" s="85"/>
      <c r="DXL2" s="85"/>
      <c r="DXM2" s="85"/>
      <c r="DXN2" s="85"/>
      <c r="DXO2" s="85"/>
      <c r="DXP2" s="85"/>
      <c r="DXQ2" s="85"/>
      <c r="DXR2" s="85"/>
      <c r="DXS2" s="85"/>
      <c r="DXT2" s="85"/>
      <c r="DXU2" s="85"/>
      <c r="DXV2" s="85"/>
      <c r="DXW2" s="85"/>
      <c r="DXX2" s="85"/>
      <c r="DXY2" s="85"/>
      <c r="DXZ2" s="85"/>
      <c r="DYA2" s="85"/>
      <c r="DYB2" s="85"/>
      <c r="DYC2" s="85"/>
      <c r="DYD2" s="85"/>
      <c r="DYE2" s="85"/>
      <c r="DYF2" s="85"/>
      <c r="DYG2" s="85"/>
      <c r="DYH2" s="85"/>
      <c r="DYI2" s="85"/>
      <c r="DYJ2" s="85"/>
      <c r="DYK2" s="85"/>
      <c r="DYL2" s="85"/>
      <c r="DYM2" s="85"/>
      <c r="DYN2" s="85"/>
      <c r="DYO2" s="85"/>
      <c r="DYP2" s="85"/>
      <c r="DYQ2" s="85"/>
      <c r="DYR2" s="85"/>
      <c r="DYS2" s="85"/>
      <c r="DYT2" s="85"/>
      <c r="DYU2" s="85"/>
      <c r="DYV2" s="85"/>
      <c r="DYW2" s="85"/>
      <c r="DYX2" s="85"/>
      <c r="DYY2" s="85"/>
      <c r="DYZ2" s="85"/>
      <c r="DZA2" s="85"/>
      <c r="DZB2" s="85"/>
      <c r="DZC2" s="85"/>
      <c r="DZD2" s="85"/>
      <c r="DZE2" s="85"/>
      <c r="DZF2" s="85"/>
      <c r="DZG2" s="85"/>
      <c r="DZH2" s="85"/>
      <c r="DZI2" s="85"/>
      <c r="DZJ2" s="85"/>
      <c r="DZK2" s="85"/>
      <c r="DZL2" s="85"/>
      <c r="DZM2" s="85"/>
      <c r="DZN2" s="85"/>
      <c r="DZO2" s="85"/>
      <c r="DZP2" s="85"/>
      <c r="DZQ2" s="85"/>
      <c r="DZR2" s="85"/>
      <c r="DZS2" s="85"/>
      <c r="DZT2" s="85"/>
      <c r="DZU2" s="85"/>
      <c r="DZV2" s="85"/>
      <c r="DZW2" s="85"/>
      <c r="DZX2" s="85"/>
      <c r="DZY2" s="85"/>
      <c r="DZZ2" s="85"/>
      <c r="EAA2" s="85"/>
      <c r="EAB2" s="85"/>
      <c r="EAC2" s="85"/>
      <c r="EAD2" s="85"/>
      <c r="EAE2" s="85"/>
      <c r="EAF2" s="85"/>
      <c r="EAG2" s="85"/>
      <c r="EAH2" s="85"/>
      <c r="EAI2" s="85"/>
      <c r="EAJ2" s="85"/>
      <c r="EAK2" s="85"/>
      <c r="EAL2" s="85"/>
      <c r="EAM2" s="85"/>
      <c r="EAN2" s="85"/>
      <c r="EAO2" s="85"/>
      <c r="EAP2" s="85"/>
      <c r="EAQ2" s="85"/>
      <c r="EAR2" s="85"/>
      <c r="EAS2" s="85"/>
      <c r="EAT2" s="85"/>
      <c r="EAU2" s="85"/>
      <c r="EAV2" s="85"/>
      <c r="EAW2" s="85"/>
      <c r="EAX2" s="85"/>
      <c r="EAY2" s="85"/>
      <c r="EAZ2" s="85"/>
      <c r="EBA2" s="85"/>
      <c r="EBB2" s="85"/>
      <c r="EBC2" s="85"/>
      <c r="EBD2" s="85"/>
      <c r="EBE2" s="85"/>
      <c r="EBF2" s="85"/>
      <c r="EBG2" s="85"/>
      <c r="EBH2" s="85"/>
      <c r="EBI2" s="85"/>
      <c r="EBJ2" s="85"/>
      <c r="EBK2" s="85"/>
      <c r="EBL2" s="85"/>
      <c r="EBM2" s="85"/>
      <c r="EBN2" s="85"/>
      <c r="EBO2" s="85"/>
      <c r="EBP2" s="85"/>
      <c r="EBQ2" s="85"/>
      <c r="EBR2" s="85"/>
      <c r="EBS2" s="85"/>
      <c r="EBT2" s="85"/>
      <c r="EBU2" s="85"/>
      <c r="EBV2" s="85"/>
      <c r="EBW2" s="85"/>
      <c r="EBX2" s="85"/>
      <c r="EBY2" s="85"/>
      <c r="EBZ2" s="85"/>
      <c r="ECA2" s="85"/>
      <c r="ECB2" s="85"/>
      <c r="ECC2" s="85"/>
      <c r="ECD2" s="85"/>
      <c r="ECE2" s="85"/>
      <c r="ECF2" s="85"/>
      <c r="ECG2" s="85"/>
      <c r="ECH2" s="85"/>
      <c r="ECI2" s="85"/>
      <c r="ECJ2" s="85"/>
      <c r="ECK2" s="85"/>
      <c r="ECL2" s="85"/>
      <c r="ECM2" s="85"/>
      <c r="ECN2" s="85"/>
      <c r="ECO2" s="85"/>
      <c r="ECP2" s="85"/>
      <c r="ECQ2" s="85"/>
      <c r="ECR2" s="85"/>
      <c r="ECS2" s="85"/>
      <c r="ECT2" s="85"/>
      <c r="ECU2" s="85"/>
      <c r="ECV2" s="85"/>
      <c r="ECW2" s="85"/>
      <c r="ECX2" s="85"/>
      <c r="ECY2" s="85"/>
      <c r="ECZ2" s="85"/>
      <c r="EDA2" s="85"/>
      <c r="EDB2" s="85"/>
      <c r="EDC2" s="85"/>
      <c r="EDD2" s="85"/>
      <c r="EDE2" s="85"/>
      <c r="EDF2" s="85"/>
      <c r="EDG2" s="85"/>
      <c r="EDH2" s="85"/>
      <c r="EDI2" s="85"/>
      <c r="EDJ2" s="85"/>
      <c r="EDK2" s="85"/>
      <c r="EDL2" s="85"/>
      <c r="EDM2" s="85"/>
      <c r="EDN2" s="85"/>
      <c r="EDO2" s="85"/>
      <c r="EDP2" s="85"/>
      <c r="EDQ2" s="85"/>
      <c r="EDR2" s="85"/>
      <c r="EDS2" s="85"/>
      <c r="EDT2" s="85"/>
      <c r="EDU2" s="85"/>
      <c r="EDV2" s="85"/>
      <c r="EDW2" s="85"/>
      <c r="EDX2" s="85"/>
      <c r="EDY2" s="85"/>
      <c r="EDZ2" s="85"/>
      <c r="EEA2" s="85"/>
      <c r="EEB2" s="85"/>
      <c r="EEC2" s="85"/>
      <c r="EED2" s="85"/>
      <c r="EEE2" s="85"/>
      <c r="EEF2" s="85"/>
      <c r="EEG2" s="85"/>
      <c r="EEH2" s="85"/>
      <c r="EEI2" s="85"/>
      <c r="EEJ2" s="85"/>
      <c r="EEK2" s="85"/>
      <c r="EEL2" s="85"/>
      <c r="EEM2" s="85"/>
      <c r="EEN2" s="85"/>
      <c r="EEO2" s="85"/>
      <c r="EEP2" s="85"/>
      <c r="EEQ2" s="85"/>
      <c r="EER2" s="85"/>
      <c r="EES2" s="85"/>
      <c r="EET2" s="85"/>
      <c r="EEU2" s="85"/>
      <c r="EEV2" s="85"/>
      <c r="EEW2" s="85"/>
      <c r="EEX2" s="85"/>
      <c r="EEY2" s="85"/>
      <c r="EEZ2" s="85"/>
      <c r="EFA2" s="85"/>
      <c r="EFB2" s="85"/>
      <c r="EFC2" s="85"/>
      <c r="EFD2" s="85"/>
      <c r="EFE2" s="85"/>
      <c r="EFF2" s="85"/>
      <c r="EFG2" s="85"/>
      <c r="EFH2" s="85"/>
      <c r="EFI2" s="85"/>
      <c r="EFJ2" s="85"/>
      <c r="EFK2" s="85"/>
      <c r="EFL2" s="85"/>
      <c r="EFM2" s="85"/>
      <c r="EFN2" s="85"/>
      <c r="EFO2" s="85"/>
      <c r="EFP2" s="85"/>
      <c r="EFQ2" s="85"/>
      <c r="EFR2" s="85"/>
      <c r="EFS2" s="85"/>
      <c r="EFT2" s="85"/>
      <c r="EFU2" s="85"/>
      <c r="EFV2" s="85"/>
      <c r="EFW2" s="85"/>
      <c r="EFX2" s="85"/>
      <c r="EFY2" s="85"/>
      <c r="EFZ2" s="85"/>
      <c r="EGA2" s="85"/>
      <c r="EGB2" s="85"/>
      <c r="EGC2" s="85"/>
      <c r="EGD2" s="85"/>
      <c r="EGE2" s="85"/>
      <c r="EGF2" s="85"/>
      <c r="EGG2" s="85"/>
      <c r="EGH2" s="85"/>
      <c r="EGI2" s="85"/>
      <c r="EGJ2" s="85"/>
      <c r="EGK2" s="85"/>
      <c r="EGL2" s="85"/>
      <c r="EGM2" s="85"/>
      <c r="EGN2" s="85"/>
      <c r="EGO2" s="85"/>
      <c r="EGP2" s="85"/>
      <c r="EGQ2" s="85"/>
      <c r="EGR2" s="85"/>
      <c r="EGS2" s="85"/>
      <c r="EGT2" s="85"/>
      <c r="EGU2" s="85"/>
      <c r="EGV2" s="85"/>
      <c r="EGW2" s="85"/>
      <c r="EGX2" s="85"/>
      <c r="EGY2" s="85"/>
      <c r="EGZ2" s="85"/>
      <c r="EHA2" s="85"/>
      <c r="EHB2" s="85"/>
      <c r="EHC2" s="85"/>
      <c r="EHD2" s="85"/>
      <c r="EHE2" s="85"/>
      <c r="EHF2" s="85"/>
      <c r="EHG2" s="85"/>
      <c r="EHH2" s="85"/>
      <c r="EHI2" s="85"/>
      <c r="EHJ2" s="85"/>
      <c r="EHK2" s="85"/>
      <c r="EHL2" s="85"/>
      <c r="EHM2" s="85"/>
      <c r="EHN2" s="85"/>
      <c r="EHO2" s="85"/>
      <c r="EHP2" s="85"/>
      <c r="EHQ2" s="85"/>
      <c r="EHR2" s="85"/>
      <c r="EHS2" s="85"/>
      <c r="EHT2" s="85"/>
      <c r="EHU2" s="85"/>
      <c r="EHV2" s="85"/>
      <c r="EHW2" s="85"/>
      <c r="EHX2" s="85"/>
      <c r="EHY2" s="85"/>
      <c r="EHZ2" s="85"/>
      <c r="EIA2" s="85"/>
      <c r="EIB2" s="85"/>
      <c r="EIC2" s="85"/>
      <c r="EID2" s="85"/>
      <c r="EIE2" s="85"/>
      <c r="EIF2" s="85"/>
      <c r="EIG2" s="85"/>
      <c r="EIH2" s="85"/>
      <c r="EII2" s="85"/>
      <c r="EIJ2" s="85"/>
      <c r="EIK2" s="85"/>
      <c r="EIL2" s="85"/>
      <c r="EIM2" s="85"/>
      <c r="EIN2" s="85"/>
      <c r="EIO2" s="85"/>
      <c r="EIP2" s="85"/>
      <c r="EIQ2" s="85"/>
      <c r="EIR2" s="85"/>
      <c r="EIS2" s="85"/>
      <c r="EIT2" s="85"/>
      <c r="EIU2" s="85"/>
      <c r="EIV2" s="85"/>
      <c r="EIW2" s="85"/>
      <c r="EIX2" s="85"/>
      <c r="EIY2" s="85"/>
      <c r="EIZ2" s="85"/>
      <c r="EJA2" s="85"/>
      <c r="EJB2" s="85"/>
      <c r="EJC2" s="85"/>
      <c r="EJD2" s="85"/>
      <c r="EJE2" s="85"/>
      <c r="EJF2" s="85"/>
      <c r="EJG2" s="85"/>
      <c r="EJH2" s="85"/>
      <c r="EJI2" s="85"/>
      <c r="EJJ2" s="85"/>
      <c r="EJK2" s="85"/>
      <c r="EJL2" s="85"/>
      <c r="EJM2" s="85"/>
      <c r="EJN2" s="85"/>
      <c r="EJO2" s="85"/>
      <c r="EJP2" s="85"/>
      <c r="EJQ2" s="85"/>
      <c r="EJR2" s="85"/>
      <c r="EJS2" s="85"/>
      <c r="EJT2" s="85"/>
      <c r="EJU2" s="85"/>
      <c r="EJV2" s="85"/>
      <c r="EJW2" s="85"/>
      <c r="EJX2" s="85"/>
      <c r="EJY2" s="85"/>
      <c r="EJZ2" s="85"/>
      <c r="EKA2" s="85"/>
      <c r="EKB2" s="85"/>
      <c r="EKC2" s="85"/>
      <c r="EKD2" s="85"/>
      <c r="EKE2" s="85"/>
      <c r="EKF2" s="85"/>
      <c r="EKG2" s="85"/>
      <c r="EKH2" s="85"/>
      <c r="EKI2" s="85"/>
      <c r="EKJ2" s="85"/>
      <c r="EKK2" s="85"/>
      <c r="EKL2" s="85"/>
      <c r="EKM2" s="85"/>
      <c r="EKN2" s="85"/>
      <c r="EKO2" s="85"/>
      <c r="EKP2" s="85"/>
      <c r="EKQ2" s="85"/>
      <c r="EKR2" s="85"/>
      <c r="EKS2" s="85"/>
      <c r="EKT2" s="85"/>
      <c r="EKU2" s="85"/>
      <c r="EKV2" s="85"/>
      <c r="EKW2" s="85"/>
      <c r="EKX2" s="85"/>
      <c r="EKY2" s="85"/>
      <c r="EKZ2" s="85"/>
      <c r="ELA2" s="85"/>
      <c r="ELB2" s="85"/>
      <c r="ELC2" s="85"/>
      <c r="ELD2" s="85"/>
      <c r="ELE2" s="85"/>
      <c r="ELF2" s="85"/>
      <c r="ELG2" s="85"/>
      <c r="ELH2" s="85"/>
      <c r="ELI2" s="85"/>
      <c r="ELJ2" s="85"/>
      <c r="ELK2" s="85"/>
      <c r="ELL2" s="85"/>
      <c r="ELM2" s="85"/>
      <c r="ELN2" s="85"/>
      <c r="ELO2" s="85"/>
      <c r="ELP2" s="85"/>
      <c r="ELQ2" s="85"/>
      <c r="ELR2" s="85"/>
      <c r="ELS2" s="85"/>
      <c r="ELT2" s="85"/>
      <c r="ELU2" s="85"/>
      <c r="ELV2" s="85"/>
      <c r="ELW2" s="85"/>
      <c r="ELX2" s="85"/>
      <c r="ELY2" s="85"/>
      <c r="ELZ2" s="85"/>
      <c r="EMA2" s="85"/>
      <c r="EMB2" s="85"/>
      <c r="EMC2" s="85"/>
      <c r="EMD2" s="85"/>
      <c r="EME2" s="85"/>
      <c r="EMF2" s="85"/>
      <c r="EMG2" s="85"/>
      <c r="EMH2" s="85"/>
      <c r="EMI2" s="85"/>
      <c r="EMJ2" s="85"/>
      <c r="EMK2" s="85"/>
      <c r="EML2" s="85"/>
      <c r="EMM2" s="85"/>
      <c r="EMN2" s="85"/>
      <c r="EMO2" s="85"/>
      <c r="EMP2" s="85"/>
      <c r="EMQ2" s="85"/>
      <c r="EMR2" s="85"/>
      <c r="EMS2" s="85"/>
      <c r="EMT2" s="85"/>
      <c r="EMU2" s="85"/>
      <c r="EMV2" s="85"/>
      <c r="EMW2" s="85"/>
      <c r="EMX2" s="85"/>
      <c r="EMY2" s="85"/>
      <c r="EMZ2" s="85"/>
      <c r="ENA2" s="85"/>
      <c r="ENB2" s="85"/>
      <c r="ENC2" s="85"/>
      <c r="END2" s="85"/>
      <c r="ENE2" s="85"/>
      <c r="ENF2" s="85"/>
      <c r="ENG2" s="85"/>
      <c r="ENH2" s="85"/>
      <c r="ENI2" s="85"/>
      <c r="ENJ2" s="85"/>
      <c r="ENK2" s="85"/>
      <c r="ENL2" s="85"/>
      <c r="ENM2" s="85"/>
      <c r="ENN2" s="85"/>
      <c r="ENO2" s="85"/>
      <c r="ENP2" s="85"/>
      <c r="ENQ2" s="85"/>
      <c r="ENR2" s="85"/>
      <c r="ENS2" s="85"/>
      <c r="ENT2" s="85"/>
      <c r="ENU2" s="85"/>
      <c r="ENV2" s="85"/>
      <c r="ENW2" s="85"/>
      <c r="ENX2" s="85"/>
      <c r="ENY2" s="85"/>
      <c r="ENZ2" s="85"/>
      <c r="EOA2" s="85"/>
      <c r="EOB2" s="85"/>
      <c r="EOC2" s="85"/>
      <c r="EOD2" s="85"/>
      <c r="EOE2" s="85"/>
      <c r="EOF2" s="85"/>
      <c r="EOG2" s="85"/>
      <c r="EOH2" s="85"/>
      <c r="EOI2" s="85"/>
      <c r="EOJ2" s="85"/>
      <c r="EOK2" s="85"/>
      <c r="EOL2" s="85"/>
      <c r="EOM2" s="85"/>
      <c r="EON2" s="85"/>
      <c r="EOO2" s="85"/>
      <c r="EOP2" s="85"/>
      <c r="EOQ2" s="85"/>
      <c r="EOR2" s="85"/>
      <c r="EOS2" s="85"/>
      <c r="EOT2" s="85"/>
      <c r="EOU2" s="85"/>
      <c r="EOV2" s="85"/>
      <c r="EOW2" s="85"/>
      <c r="EOX2" s="85"/>
      <c r="EOY2" s="85"/>
      <c r="EOZ2" s="85"/>
      <c r="EPA2" s="85"/>
      <c r="EPB2" s="85"/>
      <c r="EPC2" s="85"/>
      <c r="EPD2" s="85"/>
      <c r="EPE2" s="85"/>
      <c r="EPF2" s="85"/>
      <c r="EPG2" s="85"/>
      <c r="EPH2" s="85"/>
      <c r="EPI2" s="85"/>
      <c r="EPJ2" s="85"/>
      <c r="EPK2" s="85"/>
      <c r="EPL2" s="85"/>
      <c r="EPM2" s="85"/>
      <c r="EPN2" s="85"/>
      <c r="EPO2" s="85"/>
      <c r="EPP2" s="85"/>
      <c r="EPQ2" s="85"/>
      <c r="EPR2" s="85"/>
      <c r="EPS2" s="85"/>
      <c r="EPT2" s="85"/>
      <c r="EPU2" s="85"/>
      <c r="EPV2" s="85"/>
      <c r="EPW2" s="85"/>
      <c r="EPX2" s="85"/>
      <c r="EPY2" s="85"/>
      <c r="EPZ2" s="85"/>
      <c r="EQA2" s="85"/>
      <c r="EQB2" s="85"/>
      <c r="EQC2" s="85"/>
      <c r="EQD2" s="85"/>
      <c r="EQE2" s="85"/>
      <c r="EQF2" s="85"/>
      <c r="EQG2" s="85"/>
      <c r="EQH2" s="85"/>
      <c r="EQI2" s="85"/>
      <c r="EQJ2" s="85"/>
      <c r="EQK2" s="85"/>
      <c r="EQL2" s="85"/>
      <c r="EQM2" s="85"/>
      <c r="EQN2" s="85"/>
      <c r="EQO2" s="85"/>
      <c r="EQP2" s="85"/>
      <c r="EQQ2" s="85"/>
      <c r="EQR2" s="85"/>
      <c r="EQS2" s="85"/>
      <c r="EQT2" s="85"/>
      <c r="EQU2" s="85"/>
      <c r="EQV2" s="85"/>
      <c r="EQW2" s="85"/>
      <c r="EQX2" s="85"/>
      <c r="EQY2" s="85"/>
      <c r="EQZ2" s="85"/>
      <c r="ERA2" s="85"/>
      <c r="ERB2" s="85"/>
      <c r="ERC2" s="85"/>
      <c r="ERD2" s="85"/>
      <c r="ERE2" s="85"/>
      <c r="ERF2" s="85"/>
      <c r="ERG2" s="85"/>
      <c r="ERH2" s="85"/>
      <c r="ERI2" s="85"/>
      <c r="ERJ2" s="85"/>
      <c r="ERK2" s="85"/>
      <c r="ERL2" s="85"/>
      <c r="ERM2" s="85"/>
      <c r="ERN2" s="85"/>
      <c r="ERO2" s="85"/>
      <c r="ERP2" s="85"/>
      <c r="ERQ2" s="85"/>
      <c r="ERR2" s="85"/>
      <c r="ERS2" s="85"/>
      <c r="ERT2" s="85"/>
      <c r="ERU2" s="85"/>
      <c r="ERV2" s="85"/>
      <c r="ERW2" s="85"/>
      <c r="ERX2" s="85"/>
      <c r="ERY2" s="85"/>
      <c r="ERZ2" s="85"/>
      <c r="ESA2" s="85"/>
      <c r="ESB2" s="85"/>
      <c r="ESC2" s="85"/>
      <c r="ESD2" s="85"/>
      <c r="ESE2" s="85"/>
      <c r="ESF2" s="85"/>
      <c r="ESG2" s="85"/>
      <c r="ESH2" s="85"/>
      <c r="ESI2" s="85"/>
      <c r="ESJ2" s="85"/>
      <c r="ESK2" s="85"/>
      <c r="ESL2" s="85"/>
      <c r="ESM2" s="85"/>
      <c r="ESN2" s="85"/>
      <c r="ESO2" s="85"/>
      <c r="ESP2" s="85"/>
      <c r="ESQ2" s="85"/>
      <c r="ESR2" s="85"/>
      <c r="ESS2" s="85"/>
      <c r="EST2" s="85"/>
      <c r="ESU2" s="85"/>
      <c r="ESV2" s="85"/>
      <c r="ESW2" s="85"/>
      <c r="ESX2" s="85"/>
      <c r="ESY2" s="85"/>
      <c r="ESZ2" s="85"/>
      <c r="ETA2" s="85"/>
      <c r="ETB2" s="85"/>
      <c r="ETC2" s="85"/>
      <c r="ETD2" s="85"/>
      <c r="ETE2" s="85"/>
      <c r="ETF2" s="85"/>
      <c r="ETG2" s="85"/>
      <c r="ETH2" s="85"/>
      <c r="ETI2" s="85"/>
      <c r="ETJ2" s="85"/>
      <c r="ETK2" s="85"/>
      <c r="ETL2" s="85"/>
      <c r="ETM2" s="85"/>
      <c r="ETN2" s="85"/>
      <c r="ETO2" s="85"/>
      <c r="ETP2" s="85"/>
      <c r="ETQ2" s="85"/>
      <c r="ETR2" s="85"/>
      <c r="ETS2" s="85"/>
      <c r="ETT2" s="85"/>
      <c r="ETU2" s="85"/>
      <c r="ETV2" s="85"/>
      <c r="ETW2" s="85"/>
      <c r="ETX2" s="85"/>
      <c r="ETY2" s="85"/>
      <c r="ETZ2" s="85"/>
      <c r="EUA2" s="85"/>
      <c r="EUB2" s="85"/>
      <c r="EUC2" s="85"/>
      <c r="EUD2" s="85"/>
      <c r="EUE2" s="85"/>
      <c r="EUF2" s="85"/>
      <c r="EUG2" s="85"/>
      <c r="EUH2" s="85"/>
      <c r="EUI2" s="85"/>
      <c r="EUJ2" s="85"/>
      <c r="EUK2" s="85"/>
      <c r="EUL2" s="85"/>
      <c r="EUM2" s="85"/>
      <c r="EUN2" s="85"/>
      <c r="EUO2" s="85"/>
      <c r="EUP2" s="85"/>
      <c r="EUQ2" s="85"/>
      <c r="EUR2" s="85"/>
      <c r="EUS2" s="85"/>
      <c r="EUT2" s="85"/>
      <c r="EUU2" s="85"/>
      <c r="EUV2" s="85"/>
      <c r="EUW2" s="85"/>
      <c r="EUX2" s="85"/>
      <c r="EUY2" s="85"/>
      <c r="EUZ2" s="85"/>
      <c r="EVA2" s="85"/>
      <c r="EVB2" s="85"/>
      <c r="EVC2" s="85"/>
      <c r="EVD2" s="85"/>
      <c r="EVE2" s="85"/>
      <c r="EVF2" s="85"/>
      <c r="EVG2" s="85"/>
      <c r="EVH2" s="85"/>
      <c r="EVI2" s="85"/>
      <c r="EVJ2" s="85"/>
      <c r="EVK2" s="85"/>
      <c r="EVL2" s="85"/>
      <c r="EVM2" s="85"/>
      <c r="EVN2" s="85"/>
      <c r="EVO2" s="85"/>
      <c r="EVP2" s="85"/>
      <c r="EVQ2" s="85"/>
      <c r="EVR2" s="85"/>
      <c r="EVS2" s="85"/>
      <c r="EVT2" s="85"/>
      <c r="EVU2" s="85"/>
      <c r="EVV2" s="85"/>
      <c r="EVW2" s="85"/>
      <c r="EVX2" s="85"/>
      <c r="EVY2" s="85"/>
      <c r="EVZ2" s="85"/>
      <c r="EWA2" s="85"/>
      <c r="EWB2" s="85"/>
      <c r="EWC2" s="85"/>
      <c r="EWD2" s="85"/>
      <c r="EWE2" s="85"/>
      <c r="EWF2" s="85"/>
      <c r="EWG2" s="85"/>
      <c r="EWH2" s="85"/>
      <c r="EWI2" s="85"/>
      <c r="EWJ2" s="85"/>
      <c r="EWK2" s="85"/>
      <c r="EWL2" s="85"/>
      <c r="EWM2" s="85"/>
      <c r="EWN2" s="85"/>
      <c r="EWO2" s="85"/>
      <c r="EWP2" s="85"/>
      <c r="EWQ2" s="85"/>
      <c r="EWR2" s="85"/>
      <c r="EWS2" s="85"/>
      <c r="EWT2" s="85"/>
      <c r="EWU2" s="85"/>
      <c r="EWV2" s="85"/>
      <c r="EWW2" s="85"/>
      <c r="EWX2" s="85"/>
      <c r="EWY2" s="85"/>
      <c r="EWZ2" s="85"/>
      <c r="EXA2" s="85"/>
      <c r="EXB2" s="85"/>
      <c r="EXC2" s="85"/>
      <c r="EXD2" s="85"/>
      <c r="EXE2" s="85"/>
      <c r="EXF2" s="85"/>
      <c r="EXG2" s="85"/>
      <c r="EXH2" s="85"/>
      <c r="EXI2" s="85"/>
      <c r="EXJ2" s="85"/>
      <c r="EXK2" s="85"/>
      <c r="EXL2" s="85"/>
      <c r="EXM2" s="85"/>
      <c r="EXN2" s="85"/>
      <c r="EXO2" s="85"/>
      <c r="EXP2" s="85"/>
      <c r="EXQ2" s="85"/>
      <c r="EXR2" s="85"/>
      <c r="EXS2" s="85"/>
      <c r="EXT2" s="85"/>
      <c r="EXU2" s="85"/>
      <c r="EXV2" s="85"/>
      <c r="EXW2" s="85"/>
      <c r="EXX2" s="85"/>
      <c r="EXY2" s="85"/>
      <c r="EXZ2" s="85"/>
      <c r="EYA2" s="85"/>
      <c r="EYB2" s="85"/>
      <c r="EYC2" s="85"/>
      <c r="EYD2" s="85"/>
      <c r="EYE2" s="85"/>
      <c r="EYF2" s="85"/>
      <c r="EYG2" s="85"/>
      <c r="EYH2" s="85"/>
      <c r="EYI2" s="85"/>
      <c r="EYJ2" s="85"/>
      <c r="EYK2" s="85"/>
      <c r="EYL2" s="85"/>
      <c r="EYM2" s="85"/>
      <c r="EYN2" s="85"/>
      <c r="EYO2" s="85"/>
      <c r="EYP2" s="85"/>
      <c r="EYQ2" s="85"/>
      <c r="EYR2" s="85"/>
      <c r="EYS2" s="85"/>
      <c r="EYT2" s="85"/>
      <c r="EYU2" s="85"/>
      <c r="EYV2" s="85"/>
      <c r="EYW2" s="85"/>
      <c r="EYX2" s="85"/>
      <c r="EYY2" s="85"/>
      <c r="EYZ2" s="85"/>
      <c r="EZA2" s="85"/>
      <c r="EZB2" s="85"/>
      <c r="EZC2" s="85"/>
      <c r="EZD2" s="85"/>
      <c r="EZE2" s="85"/>
      <c r="EZF2" s="85"/>
      <c r="EZG2" s="85"/>
      <c r="EZH2" s="85"/>
      <c r="EZI2" s="85"/>
      <c r="EZJ2" s="85"/>
      <c r="EZK2" s="85"/>
      <c r="EZL2" s="85"/>
      <c r="EZM2" s="85"/>
      <c r="EZN2" s="85"/>
      <c r="EZO2" s="85"/>
      <c r="EZP2" s="85"/>
      <c r="EZQ2" s="85"/>
      <c r="EZR2" s="85"/>
      <c r="EZS2" s="85"/>
      <c r="EZT2" s="85"/>
      <c r="EZU2" s="85"/>
      <c r="EZV2" s="85"/>
      <c r="EZW2" s="85"/>
      <c r="EZX2" s="85"/>
      <c r="EZY2" s="85"/>
      <c r="EZZ2" s="85"/>
      <c r="FAA2" s="85"/>
      <c r="FAB2" s="85"/>
      <c r="FAC2" s="85"/>
      <c r="FAD2" s="85"/>
      <c r="FAE2" s="85"/>
      <c r="FAF2" s="85"/>
      <c r="FAG2" s="85"/>
      <c r="FAH2" s="85"/>
      <c r="FAI2" s="85"/>
      <c r="FAJ2" s="85"/>
      <c r="FAK2" s="85"/>
      <c r="FAL2" s="85"/>
      <c r="FAM2" s="85"/>
      <c r="FAN2" s="85"/>
      <c r="FAO2" s="85"/>
      <c r="FAP2" s="85"/>
      <c r="FAQ2" s="85"/>
      <c r="FAR2" s="85"/>
      <c r="FAS2" s="85"/>
      <c r="FAT2" s="85"/>
      <c r="FAU2" s="85"/>
      <c r="FAV2" s="85"/>
      <c r="FAW2" s="85"/>
      <c r="FAX2" s="85"/>
      <c r="FAY2" s="85"/>
      <c r="FAZ2" s="85"/>
      <c r="FBA2" s="85"/>
      <c r="FBB2" s="85"/>
      <c r="FBC2" s="85"/>
      <c r="FBD2" s="85"/>
      <c r="FBE2" s="85"/>
      <c r="FBF2" s="85"/>
      <c r="FBG2" s="85"/>
      <c r="FBH2" s="85"/>
      <c r="FBI2" s="85"/>
      <c r="FBJ2" s="85"/>
      <c r="FBK2" s="85"/>
      <c r="FBL2" s="85"/>
      <c r="FBM2" s="85"/>
      <c r="FBN2" s="85"/>
      <c r="FBO2" s="85"/>
      <c r="FBP2" s="85"/>
      <c r="FBQ2" s="85"/>
      <c r="FBR2" s="85"/>
      <c r="FBS2" s="85"/>
      <c r="FBT2" s="85"/>
      <c r="FBU2" s="85"/>
      <c r="FBV2" s="85"/>
      <c r="FBW2" s="85"/>
      <c r="FBX2" s="85"/>
      <c r="FBY2" s="85"/>
      <c r="FBZ2" s="85"/>
      <c r="FCA2" s="85"/>
      <c r="FCB2" s="85"/>
      <c r="FCC2" s="85"/>
      <c r="FCD2" s="85"/>
      <c r="FCE2" s="85"/>
      <c r="FCF2" s="85"/>
      <c r="FCG2" s="85"/>
      <c r="FCH2" s="85"/>
      <c r="FCI2" s="85"/>
      <c r="FCJ2" s="85"/>
      <c r="FCK2" s="85"/>
      <c r="FCL2" s="85"/>
      <c r="FCM2" s="85"/>
      <c r="FCN2" s="85"/>
      <c r="FCO2" s="85"/>
      <c r="FCP2" s="85"/>
      <c r="FCQ2" s="85"/>
      <c r="FCR2" s="85"/>
      <c r="FCS2" s="85"/>
      <c r="FCT2" s="85"/>
      <c r="FCU2" s="85"/>
      <c r="FCV2" s="85"/>
      <c r="FCW2" s="85"/>
      <c r="FCX2" s="85"/>
      <c r="FCY2" s="85"/>
      <c r="FCZ2" s="85"/>
      <c r="FDA2" s="85"/>
      <c r="FDB2" s="85"/>
      <c r="FDC2" s="85"/>
      <c r="FDD2" s="85"/>
      <c r="FDE2" s="85"/>
      <c r="FDF2" s="85"/>
      <c r="FDG2" s="85"/>
      <c r="FDH2" s="85"/>
      <c r="FDI2" s="85"/>
      <c r="FDJ2" s="85"/>
      <c r="FDK2" s="85"/>
      <c r="FDL2" s="85"/>
      <c r="FDM2" s="85"/>
      <c r="FDN2" s="85"/>
      <c r="FDO2" s="85"/>
      <c r="FDP2" s="85"/>
      <c r="FDQ2" s="85"/>
      <c r="FDR2" s="85"/>
      <c r="FDS2" s="85"/>
      <c r="FDT2" s="85"/>
      <c r="FDU2" s="85"/>
      <c r="FDV2" s="85"/>
      <c r="FDW2" s="85"/>
      <c r="FDX2" s="85"/>
      <c r="FDY2" s="85"/>
      <c r="FDZ2" s="85"/>
      <c r="FEA2" s="85"/>
      <c r="FEB2" s="85"/>
      <c r="FEC2" s="85"/>
      <c r="FED2" s="85"/>
      <c r="FEE2" s="85"/>
      <c r="FEF2" s="85"/>
      <c r="FEG2" s="85"/>
      <c r="FEH2" s="85"/>
      <c r="FEI2" s="85"/>
      <c r="FEJ2" s="85"/>
      <c r="FEK2" s="85"/>
      <c r="FEL2" s="85"/>
      <c r="FEM2" s="85"/>
      <c r="FEN2" s="85"/>
      <c r="FEO2" s="85"/>
      <c r="FEP2" s="85"/>
      <c r="FEQ2" s="85"/>
      <c r="FER2" s="85"/>
      <c r="FES2" s="85"/>
      <c r="FET2" s="85"/>
      <c r="FEU2" s="85"/>
      <c r="FEV2" s="85"/>
      <c r="FEW2" s="85"/>
      <c r="FEX2" s="85"/>
      <c r="FEY2" s="85"/>
      <c r="FEZ2" s="85"/>
      <c r="FFA2" s="85"/>
      <c r="FFB2" s="85"/>
      <c r="FFC2" s="85"/>
      <c r="FFD2" s="85"/>
      <c r="FFE2" s="85"/>
      <c r="FFF2" s="85"/>
      <c r="FFG2" s="85"/>
      <c r="FFH2" s="85"/>
      <c r="FFI2" s="85"/>
      <c r="FFJ2" s="85"/>
      <c r="FFK2" s="85"/>
      <c r="FFL2" s="85"/>
      <c r="FFM2" s="85"/>
      <c r="FFN2" s="85"/>
      <c r="FFO2" s="85"/>
      <c r="FFP2" s="85"/>
      <c r="FFQ2" s="85"/>
      <c r="FFR2" s="85"/>
      <c r="FFS2" s="85"/>
      <c r="FFT2" s="85"/>
      <c r="FFU2" s="85"/>
      <c r="FFV2" s="85"/>
      <c r="FFW2" s="85"/>
      <c r="FFX2" s="85"/>
      <c r="FFY2" s="85"/>
      <c r="FFZ2" s="85"/>
      <c r="FGA2" s="85"/>
      <c r="FGB2" s="85"/>
      <c r="FGC2" s="85"/>
      <c r="FGD2" s="85"/>
      <c r="FGE2" s="85"/>
      <c r="FGF2" s="85"/>
      <c r="FGG2" s="85"/>
      <c r="FGH2" s="85"/>
      <c r="FGI2" s="85"/>
      <c r="FGJ2" s="85"/>
      <c r="FGK2" s="85"/>
      <c r="FGL2" s="85"/>
      <c r="FGM2" s="85"/>
      <c r="FGN2" s="85"/>
      <c r="FGO2" s="85"/>
      <c r="FGP2" s="85"/>
      <c r="FGQ2" s="85"/>
      <c r="FGR2" s="85"/>
      <c r="FGS2" s="85"/>
      <c r="FGT2" s="85"/>
      <c r="FGU2" s="85"/>
      <c r="FGV2" s="85"/>
      <c r="FGW2" s="85"/>
      <c r="FGX2" s="85"/>
      <c r="FGY2" s="85"/>
      <c r="FGZ2" s="85"/>
      <c r="FHA2" s="85"/>
      <c r="FHB2" s="85"/>
      <c r="FHC2" s="85"/>
      <c r="FHD2" s="85"/>
      <c r="FHE2" s="85"/>
      <c r="FHF2" s="85"/>
      <c r="FHG2" s="85"/>
      <c r="FHH2" s="85"/>
      <c r="FHI2" s="85"/>
      <c r="FHJ2" s="85"/>
      <c r="FHK2" s="85"/>
      <c r="FHL2" s="85"/>
      <c r="FHM2" s="85"/>
      <c r="FHN2" s="85"/>
      <c r="FHO2" s="85"/>
      <c r="FHP2" s="85"/>
      <c r="FHQ2" s="85"/>
      <c r="FHR2" s="85"/>
      <c r="FHS2" s="85"/>
      <c r="FHT2" s="85"/>
      <c r="FHU2" s="85"/>
      <c r="FHV2" s="85"/>
      <c r="FHW2" s="85"/>
      <c r="FHX2" s="85"/>
      <c r="FHY2" s="85"/>
      <c r="FHZ2" s="85"/>
      <c r="FIA2" s="85"/>
      <c r="FIB2" s="85"/>
      <c r="FIC2" s="85"/>
      <c r="FID2" s="85"/>
      <c r="FIE2" s="85"/>
      <c r="FIF2" s="85"/>
      <c r="FIG2" s="85"/>
      <c r="FIH2" s="85"/>
      <c r="FII2" s="85"/>
      <c r="FIJ2" s="85"/>
      <c r="FIK2" s="85"/>
      <c r="FIL2" s="85"/>
      <c r="FIM2" s="85"/>
      <c r="FIN2" s="85"/>
      <c r="FIO2" s="85"/>
      <c r="FIP2" s="85"/>
      <c r="FIQ2" s="85"/>
      <c r="FIR2" s="85"/>
      <c r="FIS2" s="85"/>
      <c r="FIT2" s="85"/>
      <c r="FIU2" s="85"/>
      <c r="FIV2" s="85"/>
      <c r="FIW2" s="85"/>
      <c r="FIX2" s="85"/>
      <c r="FIY2" s="85"/>
      <c r="FIZ2" s="85"/>
      <c r="FJA2" s="85"/>
      <c r="FJB2" s="85"/>
      <c r="FJC2" s="85"/>
      <c r="FJD2" s="85"/>
      <c r="FJE2" s="85"/>
      <c r="FJF2" s="85"/>
      <c r="FJG2" s="85"/>
      <c r="FJH2" s="85"/>
      <c r="FJI2" s="85"/>
      <c r="FJJ2" s="85"/>
      <c r="FJK2" s="85"/>
      <c r="FJL2" s="85"/>
      <c r="FJM2" s="85"/>
      <c r="FJN2" s="85"/>
      <c r="FJO2" s="85"/>
      <c r="FJP2" s="85"/>
      <c r="FJQ2" s="85"/>
      <c r="FJR2" s="85"/>
      <c r="FJS2" s="85"/>
      <c r="FJT2" s="85"/>
      <c r="FJU2" s="85"/>
      <c r="FJV2" s="85"/>
      <c r="FJW2" s="85"/>
      <c r="FJX2" s="85"/>
      <c r="FJY2" s="85"/>
      <c r="FJZ2" s="85"/>
      <c r="FKA2" s="85"/>
      <c r="FKB2" s="85"/>
      <c r="FKC2" s="85"/>
      <c r="FKD2" s="85"/>
      <c r="FKE2" s="85"/>
      <c r="FKF2" s="85"/>
      <c r="FKG2" s="85"/>
      <c r="FKH2" s="85"/>
      <c r="FKI2" s="85"/>
      <c r="FKJ2" s="85"/>
      <c r="FKK2" s="85"/>
      <c r="FKL2" s="85"/>
      <c r="FKM2" s="85"/>
      <c r="FKN2" s="85"/>
      <c r="FKO2" s="85"/>
      <c r="FKP2" s="85"/>
      <c r="FKQ2" s="85"/>
      <c r="FKR2" s="85"/>
      <c r="FKS2" s="85"/>
      <c r="FKT2" s="85"/>
      <c r="FKU2" s="85"/>
      <c r="FKV2" s="85"/>
      <c r="FKW2" s="85"/>
      <c r="FKX2" s="85"/>
      <c r="FKY2" s="85"/>
      <c r="FKZ2" s="85"/>
      <c r="FLA2" s="85"/>
      <c r="FLB2" s="85"/>
      <c r="FLC2" s="85"/>
      <c r="FLD2" s="85"/>
      <c r="FLE2" s="85"/>
      <c r="FLF2" s="85"/>
      <c r="FLG2" s="85"/>
      <c r="FLH2" s="85"/>
      <c r="FLI2" s="85"/>
      <c r="FLJ2" s="85"/>
      <c r="FLK2" s="85"/>
      <c r="FLL2" s="85"/>
      <c r="FLM2" s="85"/>
      <c r="FLN2" s="85"/>
      <c r="FLO2" s="85"/>
      <c r="FLP2" s="85"/>
      <c r="FLQ2" s="85"/>
      <c r="FLR2" s="85"/>
      <c r="FLS2" s="85"/>
      <c r="FLT2" s="85"/>
      <c r="FLU2" s="85"/>
      <c r="FLV2" s="85"/>
      <c r="FLW2" s="85"/>
      <c r="FLX2" s="85"/>
      <c r="FLY2" s="85"/>
      <c r="FLZ2" s="85"/>
      <c r="FMA2" s="85"/>
      <c r="FMB2" s="85"/>
      <c r="FMC2" s="85"/>
      <c r="FMD2" s="85"/>
      <c r="FME2" s="85"/>
      <c r="FMF2" s="85"/>
      <c r="FMG2" s="85"/>
      <c r="FMH2" s="85"/>
      <c r="FMI2" s="85"/>
      <c r="FMJ2" s="85"/>
      <c r="FMK2" s="85"/>
      <c r="FML2" s="85"/>
      <c r="FMM2" s="85"/>
      <c r="FMN2" s="85"/>
      <c r="FMO2" s="85"/>
      <c r="FMP2" s="85"/>
      <c r="FMQ2" s="85"/>
      <c r="FMR2" s="85"/>
      <c r="FMS2" s="85"/>
      <c r="FMT2" s="85"/>
      <c r="FMU2" s="85"/>
      <c r="FMV2" s="85"/>
      <c r="FMW2" s="85"/>
      <c r="FMX2" s="85"/>
      <c r="FMY2" s="85"/>
      <c r="FMZ2" s="85"/>
      <c r="FNA2" s="85"/>
      <c r="FNB2" s="85"/>
      <c r="FNC2" s="85"/>
      <c r="FND2" s="85"/>
      <c r="FNE2" s="85"/>
      <c r="FNF2" s="85"/>
      <c r="FNG2" s="85"/>
      <c r="FNH2" s="85"/>
      <c r="FNI2" s="85"/>
      <c r="FNJ2" s="85"/>
      <c r="FNK2" s="85"/>
      <c r="FNL2" s="85"/>
      <c r="FNM2" s="85"/>
      <c r="FNN2" s="85"/>
      <c r="FNO2" s="85"/>
      <c r="FNP2" s="85"/>
      <c r="FNQ2" s="85"/>
      <c r="FNR2" s="85"/>
      <c r="FNS2" s="85"/>
      <c r="FNT2" s="85"/>
      <c r="FNU2" s="85"/>
      <c r="FNV2" s="85"/>
      <c r="FNW2" s="85"/>
      <c r="FNX2" s="85"/>
      <c r="FNY2" s="85"/>
      <c r="FNZ2" s="85"/>
      <c r="FOA2" s="85"/>
      <c r="FOB2" s="85"/>
      <c r="FOC2" s="85"/>
      <c r="FOD2" s="85"/>
      <c r="FOE2" s="85"/>
      <c r="FOF2" s="85"/>
      <c r="FOG2" s="85"/>
      <c r="FOH2" s="85"/>
      <c r="FOI2" s="85"/>
      <c r="FOJ2" s="85"/>
      <c r="FOK2" s="85"/>
      <c r="FOL2" s="85"/>
      <c r="FOM2" s="85"/>
      <c r="FON2" s="85"/>
      <c r="FOO2" s="85"/>
      <c r="FOP2" s="85"/>
      <c r="FOQ2" s="85"/>
      <c r="FOR2" s="85"/>
      <c r="FOS2" s="85"/>
      <c r="FOT2" s="85"/>
      <c r="FOU2" s="85"/>
      <c r="FOV2" s="85"/>
      <c r="FOW2" s="85"/>
      <c r="FOX2" s="85"/>
      <c r="FOY2" s="85"/>
      <c r="FOZ2" s="85"/>
      <c r="FPA2" s="85"/>
      <c r="FPB2" s="85"/>
      <c r="FPC2" s="85"/>
      <c r="FPD2" s="85"/>
      <c r="FPE2" s="85"/>
      <c r="FPF2" s="85"/>
      <c r="FPG2" s="85"/>
      <c r="FPH2" s="85"/>
      <c r="FPI2" s="85"/>
      <c r="FPJ2" s="85"/>
      <c r="FPK2" s="85"/>
      <c r="FPL2" s="85"/>
      <c r="FPM2" s="85"/>
      <c r="FPN2" s="85"/>
      <c r="FPO2" s="85"/>
      <c r="FPP2" s="85"/>
      <c r="FPQ2" s="85"/>
      <c r="FPR2" s="85"/>
      <c r="FPS2" s="85"/>
      <c r="FPT2" s="85"/>
      <c r="FPU2" s="85"/>
      <c r="FPV2" s="85"/>
      <c r="FPW2" s="85"/>
      <c r="FPX2" s="85"/>
      <c r="FPY2" s="85"/>
      <c r="FPZ2" s="85"/>
      <c r="FQA2" s="85"/>
      <c r="FQB2" s="85"/>
      <c r="FQC2" s="85"/>
      <c r="FQD2" s="85"/>
      <c r="FQE2" s="85"/>
      <c r="FQF2" s="85"/>
      <c r="FQG2" s="85"/>
      <c r="FQH2" s="85"/>
      <c r="FQI2" s="85"/>
      <c r="FQJ2" s="85"/>
      <c r="FQK2" s="85"/>
      <c r="FQL2" s="85"/>
      <c r="FQM2" s="85"/>
      <c r="FQN2" s="85"/>
      <c r="FQO2" s="85"/>
      <c r="FQP2" s="85"/>
      <c r="FQQ2" s="85"/>
      <c r="FQR2" s="85"/>
      <c r="FQS2" s="85"/>
      <c r="FQT2" s="85"/>
      <c r="FQU2" s="85"/>
      <c r="FQV2" s="85"/>
      <c r="FQW2" s="85"/>
      <c r="FQX2" s="85"/>
      <c r="FQY2" s="85"/>
      <c r="FQZ2" s="85"/>
      <c r="FRA2" s="85"/>
      <c r="FRB2" s="85"/>
      <c r="FRC2" s="85"/>
      <c r="FRD2" s="85"/>
      <c r="FRE2" s="85"/>
      <c r="FRF2" s="85"/>
      <c r="FRG2" s="85"/>
      <c r="FRH2" s="85"/>
      <c r="FRI2" s="85"/>
      <c r="FRJ2" s="85"/>
      <c r="FRK2" s="85"/>
      <c r="FRL2" s="85"/>
      <c r="FRM2" s="85"/>
      <c r="FRN2" s="85"/>
      <c r="FRO2" s="85"/>
      <c r="FRP2" s="85"/>
      <c r="FRQ2" s="85"/>
      <c r="FRR2" s="85"/>
      <c r="FRS2" s="85"/>
      <c r="FRT2" s="85"/>
      <c r="FRU2" s="85"/>
      <c r="FRV2" s="85"/>
      <c r="FRW2" s="85"/>
      <c r="FRX2" s="85"/>
      <c r="FRY2" s="85"/>
      <c r="FRZ2" s="85"/>
      <c r="FSA2" s="85"/>
      <c r="FSB2" s="85"/>
      <c r="FSC2" s="85"/>
      <c r="FSD2" s="85"/>
      <c r="FSE2" s="85"/>
      <c r="FSF2" s="85"/>
      <c r="FSG2" s="85"/>
      <c r="FSH2" s="85"/>
      <c r="FSI2" s="85"/>
      <c r="FSJ2" s="85"/>
      <c r="FSK2" s="85"/>
      <c r="FSL2" s="85"/>
      <c r="FSM2" s="85"/>
      <c r="FSN2" s="85"/>
      <c r="FSO2" s="85"/>
      <c r="FSP2" s="85"/>
      <c r="FSQ2" s="85"/>
      <c r="FSR2" s="85"/>
      <c r="FSS2" s="85"/>
      <c r="FST2" s="85"/>
      <c r="FSU2" s="85"/>
      <c r="FSV2" s="85"/>
      <c r="FSW2" s="85"/>
      <c r="FSX2" s="85"/>
      <c r="FSY2" s="85"/>
      <c r="FSZ2" s="85"/>
      <c r="FTA2" s="85"/>
      <c r="FTB2" s="85"/>
      <c r="FTC2" s="85"/>
      <c r="FTD2" s="85"/>
      <c r="FTE2" s="85"/>
      <c r="FTF2" s="85"/>
      <c r="FTG2" s="85"/>
      <c r="FTH2" s="85"/>
      <c r="FTI2" s="85"/>
      <c r="FTJ2" s="85"/>
      <c r="FTK2" s="85"/>
      <c r="FTL2" s="85"/>
      <c r="FTM2" s="85"/>
      <c r="FTN2" s="85"/>
      <c r="FTO2" s="85"/>
      <c r="FTP2" s="85"/>
      <c r="FTQ2" s="85"/>
      <c r="FTR2" s="85"/>
      <c r="FTS2" s="85"/>
      <c r="FTT2" s="85"/>
      <c r="FTU2" s="85"/>
      <c r="FTV2" s="85"/>
      <c r="FTW2" s="85"/>
      <c r="FTX2" s="85"/>
      <c r="FTY2" s="85"/>
      <c r="FTZ2" s="85"/>
      <c r="FUA2" s="85"/>
      <c r="FUB2" s="85"/>
      <c r="FUC2" s="85"/>
      <c r="FUD2" s="85"/>
      <c r="FUE2" s="85"/>
      <c r="FUF2" s="85"/>
      <c r="FUG2" s="85"/>
      <c r="FUH2" s="85"/>
      <c r="FUI2" s="85"/>
      <c r="FUJ2" s="85"/>
      <c r="FUK2" s="85"/>
      <c r="FUL2" s="85"/>
      <c r="FUM2" s="85"/>
      <c r="FUN2" s="85"/>
      <c r="FUO2" s="85"/>
      <c r="FUP2" s="85"/>
      <c r="FUQ2" s="85"/>
      <c r="FUR2" s="85"/>
      <c r="FUS2" s="85"/>
      <c r="FUT2" s="85"/>
      <c r="FUU2" s="85"/>
      <c r="FUV2" s="85"/>
      <c r="FUW2" s="85"/>
      <c r="FUX2" s="85"/>
      <c r="FUY2" s="85"/>
      <c r="FUZ2" s="85"/>
      <c r="FVA2" s="85"/>
      <c r="FVB2" s="85"/>
      <c r="FVC2" s="85"/>
      <c r="FVD2" s="85"/>
      <c r="FVE2" s="85"/>
      <c r="FVF2" s="85"/>
      <c r="FVG2" s="85"/>
      <c r="FVH2" s="85"/>
      <c r="FVI2" s="85"/>
      <c r="FVJ2" s="85"/>
      <c r="FVK2" s="85"/>
      <c r="FVL2" s="85"/>
      <c r="FVM2" s="85"/>
      <c r="FVN2" s="85"/>
      <c r="FVO2" s="85"/>
      <c r="FVP2" s="85"/>
      <c r="FVQ2" s="85"/>
      <c r="FVR2" s="85"/>
      <c r="FVS2" s="85"/>
      <c r="FVT2" s="85"/>
      <c r="FVU2" s="85"/>
      <c r="FVV2" s="85"/>
      <c r="FVW2" s="85"/>
      <c r="FVX2" s="85"/>
      <c r="FVY2" s="85"/>
      <c r="FVZ2" s="85"/>
      <c r="FWA2" s="85"/>
      <c r="FWB2" s="85"/>
      <c r="FWC2" s="85"/>
      <c r="FWD2" s="85"/>
      <c r="FWE2" s="85"/>
      <c r="FWF2" s="85"/>
      <c r="FWG2" s="85"/>
      <c r="FWH2" s="85"/>
      <c r="FWI2" s="85"/>
      <c r="FWJ2" s="85"/>
      <c r="FWK2" s="85"/>
      <c r="FWL2" s="85"/>
      <c r="FWM2" s="85"/>
      <c r="FWN2" s="85"/>
      <c r="FWO2" s="85"/>
      <c r="FWP2" s="85"/>
      <c r="FWQ2" s="85"/>
      <c r="FWR2" s="85"/>
      <c r="FWS2" s="85"/>
      <c r="FWT2" s="85"/>
      <c r="FWU2" s="85"/>
      <c r="FWV2" s="85"/>
      <c r="FWW2" s="85"/>
      <c r="FWX2" s="85"/>
      <c r="FWY2" s="85"/>
      <c r="FWZ2" s="85"/>
      <c r="FXA2" s="85"/>
      <c r="FXB2" s="85"/>
      <c r="FXC2" s="85"/>
      <c r="FXD2" s="85"/>
      <c r="FXE2" s="85"/>
      <c r="FXF2" s="85"/>
      <c r="FXG2" s="85"/>
      <c r="FXH2" s="85"/>
      <c r="FXI2" s="85"/>
      <c r="FXJ2" s="85"/>
      <c r="FXK2" s="85"/>
      <c r="FXL2" s="85"/>
      <c r="FXM2" s="85"/>
      <c r="FXN2" s="85"/>
      <c r="FXO2" s="85"/>
      <c r="FXP2" s="85"/>
      <c r="FXQ2" s="85"/>
      <c r="FXR2" s="85"/>
      <c r="FXS2" s="85"/>
      <c r="FXT2" s="85"/>
      <c r="FXU2" s="85"/>
      <c r="FXV2" s="85"/>
      <c r="FXW2" s="85"/>
      <c r="FXX2" s="85"/>
      <c r="FXY2" s="85"/>
      <c r="FXZ2" s="85"/>
      <c r="FYA2" s="85"/>
      <c r="FYB2" s="85"/>
      <c r="FYC2" s="85"/>
      <c r="FYD2" s="85"/>
      <c r="FYE2" s="85"/>
      <c r="FYF2" s="85"/>
      <c r="FYG2" s="85"/>
      <c r="FYH2" s="85"/>
      <c r="FYI2" s="85"/>
      <c r="FYJ2" s="85"/>
      <c r="FYK2" s="85"/>
      <c r="FYL2" s="85"/>
      <c r="FYM2" s="85"/>
      <c r="FYN2" s="85"/>
      <c r="FYO2" s="85"/>
      <c r="FYP2" s="85"/>
      <c r="FYQ2" s="85"/>
      <c r="FYR2" s="85"/>
      <c r="FYS2" s="85"/>
      <c r="FYT2" s="85"/>
      <c r="FYU2" s="85"/>
      <c r="FYV2" s="85"/>
      <c r="FYW2" s="85"/>
      <c r="FYX2" s="85"/>
      <c r="FYY2" s="85"/>
      <c r="FYZ2" s="85"/>
      <c r="FZA2" s="85"/>
      <c r="FZB2" s="85"/>
      <c r="FZC2" s="85"/>
      <c r="FZD2" s="85"/>
      <c r="FZE2" s="85"/>
      <c r="FZF2" s="85"/>
      <c r="FZG2" s="85"/>
      <c r="FZH2" s="85"/>
      <c r="FZI2" s="85"/>
      <c r="FZJ2" s="85"/>
      <c r="FZK2" s="85"/>
      <c r="FZL2" s="85"/>
      <c r="FZM2" s="85"/>
      <c r="FZN2" s="85"/>
      <c r="FZO2" s="85"/>
      <c r="FZP2" s="85"/>
      <c r="FZQ2" s="85"/>
      <c r="FZR2" s="85"/>
      <c r="FZS2" s="85"/>
      <c r="FZT2" s="85"/>
      <c r="FZU2" s="85"/>
      <c r="FZV2" s="85"/>
      <c r="FZW2" s="85"/>
      <c r="FZX2" s="85"/>
      <c r="FZY2" s="85"/>
      <c r="FZZ2" s="85"/>
      <c r="GAA2" s="85"/>
      <c r="GAB2" s="85"/>
      <c r="GAC2" s="85"/>
      <c r="GAD2" s="85"/>
      <c r="GAE2" s="85"/>
      <c r="GAF2" s="85"/>
      <c r="GAG2" s="85"/>
      <c r="GAH2" s="85"/>
      <c r="GAI2" s="85"/>
      <c r="GAJ2" s="85"/>
      <c r="GAK2" s="85"/>
      <c r="GAL2" s="85"/>
      <c r="GAM2" s="85"/>
      <c r="GAN2" s="85"/>
      <c r="GAO2" s="85"/>
      <c r="GAP2" s="85"/>
      <c r="GAQ2" s="85"/>
      <c r="GAR2" s="85"/>
      <c r="GAS2" s="85"/>
      <c r="GAT2" s="85"/>
      <c r="GAU2" s="85"/>
      <c r="GAV2" s="85"/>
      <c r="GAW2" s="85"/>
      <c r="GAX2" s="85"/>
      <c r="GAY2" s="85"/>
      <c r="GAZ2" s="85"/>
      <c r="GBA2" s="85"/>
      <c r="GBB2" s="85"/>
      <c r="GBC2" s="85"/>
      <c r="GBD2" s="85"/>
      <c r="GBE2" s="85"/>
      <c r="GBF2" s="85"/>
      <c r="GBG2" s="85"/>
      <c r="GBH2" s="85"/>
      <c r="GBI2" s="85"/>
      <c r="GBJ2" s="85"/>
      <c r="GBK2" s="85"/>
      <c r="GBL2" s="85"/>
      <c r="GBM2" s="85"/>
      <c r="GBN2" s="85"/>
      <c r="GBO2" s="85"/>
      <c r="GBP2" s="85"/>
      <c r="GBQ2" s="85"/>
      <c r="GBR2" s="85"/>
      <c r="GBS2" s="85"/>
      <c r="GBT2" s="85"/>
      <c r="GBU2" s="85"/>
      <c r="GBV2" s="85"/>
      <c r="GBW2" s="85"/>
      <c r="GBX2" s="85"/>
      <c r="GBY2" s="85"/>
      <c r="GBZ2" s="85"/>
      <c r="GCA2" s="85"/>
      <c r="GCB2" s="85"/>
      <c r="GCC2" s="85"/>
      <c r="GCD2" s="85"/>
      <c r="GCE2" s="85"/>
      <c r="GCF2" s="85"/>
      <c r="GCG2" s="85"/>
      <c r="GCH2" s="85"/>
      <c r="GCI2" s="85"/>
      <c r="GCJ2" s="85"/>
      <c r="GCK2" s="85"/>
      <c r="GCL2" s="85"/>
      <c r="GCM2" s="85"/>
      <c r="GCN2" s="85"/>
      <c r="GCO2" s="85"/>
      <c r="GCP2" s="85"/>
      <c r="GCQ2" s="85"/>
      <c r="GCR2" s="85"/>
      <c r="GCS2" s="85"/>
      <c r="GCT2" s="85"/>
      <c r="GCU2" s="85"/>
      <c r="GCV2" s="85"/>
      <c r="GCW2" s="85"/>
      <c r="GCX2" s="85"/>
      <c r="GCY2" s="85"/>
      <c r="GCZ2" s="85"/>
      <c r="GDA2" s="85"/>
      <c r="GDB2" s="85"/>
      <c r="GDC2" s="85"/>
      <c r="GDD2" s="85"/>
      <c r="GDE2" s="85"/>
      <c r="GDF2" s="85"/>
      <c r="GDG2" s="85"/>
      <c r="GDH2" s="85"/>
      <c r="GDI2" s="85"/>
      <c r="GDJ2" s="85"/>
      <c r="GDK2" s="85"/>
      <c r="GDL2" s="85"/>
      <c r="GDM2" s="85"/>
      <c r="GDN2" s="85"/>
      <c r="GDO2" s="85"/>
      <c r="GDP2" s="85"/>
      <c r="GDQ2" s="85"/>
      <c r="GDR2" s="85"/>
      <c r="GDS2" s="85"/>
      <c r="GDT2" s="85"/>
      <c r="GDU2" s="85"/>
      <c r="GDV2" s="85"/>
      <c r="GDW2" s="85"/>
      <c r="GDX2" s="85"/>
      <c r="GDY2" s="85"/>
      <c r="GDZ2" s="85"/>
      <c r="GEA2" s="85"/>
      <c r="GEB2" s="85"/>
      <c r="GEC2" s="85"/>
      <c r="GED2" s="85"/>
      <c r="GEE2" s="85"/>
      <c r="GEF2" s="85"/>
      <c r="GEG2" s="85"/>
      <c r="GEH2" s="85"/>
      <c r="GEI2" s="85"/>
      <c r="GEJ2" s="85"/>
      <c r="GEK2" s="85"/>
      <c r="GEL2" s="85"/>
      <c r="GEM2" s="85"/>
      <c r="GEN2" s="85"/>
      <c r="GEO2" s="85"/>
      <c r="GEP2" s="85"/>
      <c r="GEQ2" s="85"/>
      <c r="GER2" s="85"/>
      <c r="GES2" s="85"/>
      <c r="GET2" s="85"/>
      <c r="GEU2" s="85"/>
      <c r="GEV2" s="85"/>
      <c r="GEW2" s="85"/>
      <c r="GEX2" s="85"/>
      <c r="GEY2" s="85"/>
      <c r="GEZ2" s="85"/>
      <c r="GFA2" s="85"/>
      <c r="GFB2" s="85"/>
      <c r="GFC2" s="85"/>
      <c r="GFD2" s="85"/>
      <c r="GFE2" s="85"/>
      <c r="GFF2" s="85"/>
      <c r="GFG2" s="85"/>
      <c r="GFH2" s="85"/>
      <c r="GFI2" s="85"/>
      <c r="GFJ2" s="85"/>
      <c r="GFK2" s="85"/>
      <c r="GFL2" s="85"/>
      <c r="GFM2" s="85"/>
      <c r="GFN2" s="85"/>
      <c r="GFO2" s="85"/>
      <c r="GFP2" s="85"/>
      <c r="GFQ2" s="85"/>
      <c r="GFR2" s="85"/>
      <c r="GFS2" s="85"/>
      <c r="GFT2" s="85"/>
      <c r="GFU2" s="85"/>
      <c r="GFV2" s="85"/>
      <c r="GFW2" s="85"/>
      <c r="GFX2" s="85"/>
      <c r="GFY2" s="85"/>
      <c r="GFZ2" s="85"/>
      <c r="GGA2" s="85"/>
      <c r="GGB2" s="85"/>
      <c r="GGC2" s="85"/>
      <c r="GGD2" s="85"/>
      <c r="GGE2" s="85"/>
      <c r="GGF2" s="85"/>
      <c r="GGG2" s="85"/>
      <c r="GGH2" s="85"/>
      <c r="GGI2" s="85"/>
      <c r="GGJ2" s="85"/>
      <c r="GGK2" s="85"/>
      <c r="GGL2" s="85"/>
      <c r="GGM2" s="85"/>
      <c r="GGN2" s="85"/>
      <c r="GGO2" s="85"/>
      <c r="GGP2" s="85"/>
      <c r="GGQ2" s="85"/>
      <c r="GGR2" s="85"/>
      <c r="GGS2" s="85"/>
      <c r="GGT2" s="85"/>
      <c r="GGU2" s="85"/>
      <c r="GGV2" s="85"/>
      <c r="GGW2" s="85"/>
      <c r="GGX2" s="85"/>
      <c r="GGY2" s="85"/>
      <c r="GGZ2" s="85"/>
      <c r="GHA2" s="85"/>
      <c r="GHB2" s="85"/>
      <c r="GHC2" s="85"/>
      <c r="GHD2" s="85"/>
      <c r="GHE2" s="85"/>
      <c r="GHF2" s="85"/>
      <c r="GHG2" s="85"/>
      <c r="GHH2" s="85"/>
      <c r="GHI2" s="85"/>
      <c r="GHJ2" s="85"/>
      <c r="GHK2" s="85"/>
      <c r="GHL2" s="85"/>
      <c r="GHM2" s="85"/>
      <c r="GHN2" s="85"/>
      <c r="GHO2" s="85"/>
      <c r="GHP2" s="85"/>
      <c r="GHQ2" s="85"/>
      <c r="GHR2" s="85"/>
      <c r="GHS2" s="85"/>
      <c r="GHT2" s="85"/>
      <c r="GHU2" s="85"/>
      <c r="GHV2" s="85"/>
      <c r="GHW2" s="85"/>
      <c r="GHX2" s="85"/>
      <c r="GHY2" s="85"/>
      <c r="GHZ2" s="85"/>
      <c r="GIA2" s="85"/>
      <c r="GIB2" s="85"/>
      <c r="GIC2" s="85"/>
      <c r="GID2" s="85"/>
      <c r="GIE2" s="85"/>
      <c r="GIF2" s="85"/>
      <c r="GIG2" s="85"/>
      <c r="GIH2" s="85"/>
      <c r="GII2" s="85"/>
      <c r="GIJ2" s="85"/>
      <c r="GIK2" s="85"/>
      <c r="GIL2" s="85"/>
      <c r="GIM2" s="85"/>
      <c r="GIN2" s="85"/>
      <c r="GIO2" s="85"/>
      <c r="GIP2" s="85"/>
      <c r="GIQ2" s="85"/>
      <c r="GIR2" s="85"/>
      <c r="GIS2" s="85"/>
      <c r="GIT2" s="85"/>
      <c r="GIU2" s="85"/>
      <c r="GIV2" s="85"/>
      <c r="GIW2" s="85"/>
      <c r="GIX2" s="85"/>
      <c r="GIY2" s="85"/>
      <c r="GIZ2" s="85"/>
      <c r="GJA2" s="85"/>
      <c r="GJB2" s="85"/>
      <c r="GJC2" s="85"/>
      <c r="GJD2" s="85"/>
      <c r="GJE2" s="85"/>
      <c r="GJF2" s="85"/>
      <c r="GJG2" s="85"/>
      <c r="GJH2" s="85"/>
      <c r="GJI2" s="85"/>
      <c r="GJJ2" s="85"/>
      <c r="GJK2" s="85"/>
      <c r="GJL2" s="85"/>
      <c r="GJM2" s="85"/>
      <c r="GJN2" s="85"/>
      <c r="GJO2" s="85"/>
      <c r="GJP2" s="85"/>
      <c r="GJQ2" s="85"/>
      <c r="GJR2" s="85"/>
      <c r="GJS2" s="85"/>
      <c r="GJT2" s="85"/>
      <c r="GJU2" s="85"/>
      <c r="GJV2" s="85"/>
      <c r="GJW2" s="85"/>
      <c r="GJX2" s="85"/>
      <c r="GJY2" s="85"/>
      <c r="GJZ2" s="85"/>
      <c r="GKA2" s="85"/>
      <c r="GKB2" s="85"/>
      <c r="GKC2" s="85"/>
      <c r="GKD2" s="85"/>
      <c r="GKE2" s="85"/>
      <c r="GKF2" s="85"/>
      <c r="GKG2" s="85"/>
      <c r="GKH2" s="85"/>
      <c r="GKI2" s="85"/>
      <c r="GKJ2" s="85"/>
      <c r="GKK2" s="85"/>
      <c r="GKL2" s="85"/>
      <c r="GKM2" s="85"/>
      <c r="GKN2" s="85"/>
      <c r="GKO2" s="85"/>
      <c r="GKP2" s="85"/>
      <c r="GKQ2" s="85"/>
      <c r="GKR2" s="85"/>
      <c r="GKS2" s="85"/>
      <c r="GKT2" s="85"/>
      <c r="GKU2" s="85"/>
      <c r="GKV2" s="85"/>
      <c r="GKW2" s="85"/>
      <c r="GKX2" s="85"/>
      <c r="GKY2" s="85"/>
      <c r="GKZ2" s="85"/>
      <c r="GLA2" s="85"/>
      <c r="GLB2" s="85"/>
      <c r="GLC2" s="85"/>
      <c r="GLD2" s="85"/>
      <c r="GLE2" s="85"/>
      <c r="GLF2" s="85"/>
      <c r="GLG2" s="85"/>
      <c r="GLH2" s="85"/>
      <c r="GLI2" s="85"/>
      <c r="GLJ2" s="85"/>
      <c r="GLK2" s="85"/>
      <c r="GLL2" s="85"/>
      <c r="GLM2" s="85"/>
      <c r="GLN2" s="85"/>
      <c r="GLO2" s="85"/>
      <c r="GLP2" s="85"/>
      <c r="GLQ2" s="85"/>
      <c r="GLR2" s="85"/>
      <c r="GLS2" s="85"/>
      <c r="GLT2" s="85"/>
      <c r="GLU2" s="85"/>
      <c r="GLV2" s="85"/>
      <c r="GLW2" s="85"/>
      <c r="GLX2" s="85"/>
      <c r="GLY2" s="85"/>
      <c r="GLZ2" s="85"/>
      <c r="GMA2" s="85"/>
      <c r="GMB2" s="85"/>
      <c r="GMC2" s="85"/>
      <c r="GMD2" s="85"/>
      <c r="GME2" s="85"/>
      <c r="GMF2" s="85"/>
      <c r="GMG2" s="85"/>
      <c r="GMH2" s="85"/>
      <c r="GMI2" s="85"/>
      <c r="GMJ2" s="85"/>
      <c r="GMK2" s="85"/>
      <c r="GML2" s="85"/>
      <c r="GMM2" s="85"/>
      <c r="GMN2" s="85"/>
      <c r="GMO2" s="85"/>
      <c r="GMP2" s="85"/>
      <c r="GMQ2" s="85"/>
      <c r="GMR2" s="85"/>
      <c r="GMS2" s="85"/>
      <c r="GMT2" s="85"/>
      <c r="GMU2" s="85"/>
      <c r="GMV2" s="85"/>
      <c r="GMW2" s="85"/>
      <c r="GMX2" s="85"/>
      <c r="GMY2" s="85"/>
      <c r="GMZ2" s="85"/>
      <c r="GNA2" s="85"/>
      <c r="GNB2" s="85"/>
      <c r="GNC2" s="85"/>
      <c r="GND2" s="85"/>
      <c r="GNE2" s="85"/>
      <c r="GNF2" s="85"/>
      <c r="GNG2" s="85"/>
      <c r="GNH2" s="85"/>
      <c r="GNI2" s="85"/>
      <c r="GNJ2" s="85"/>
      <c r="GNK2" s="85"/>
      <c r="GNL2" s="85"/>
      <c r="GNM2" s="85"/>
      <c r="GNN2" s="85"/>
      <c r="GNO2" s="85"/>
      <c r="GNP2" s="85"/>
      <c r="GNQ2" s="85"/>
      <c r="GNR2" s="85"/>
      <c r="GNS2" s="85"/>
      <c r="GNT2" s="85"/>
      <c r="GNU2" s="85"/>
      <c r="GNV2" s="85"/>
      <c r="GNW2" s="85"/>
      <c r="GNX2" s="85"/>
      <c r="GNY2" s="85"/>
      <c r="GNZ2" s="85"/>
      <c r="GOA2" s="85"/>
      <c r="GOB2" s="85"/>
      <c r="GOC2" s="85"/>
      <c r="GOD2" s="85"/>
      <c r="GOE2" s="85"/>
      <c r="GOF2" s="85"/>
      <c r="GOG2" s="85"/>
      <c r="GOH2" s="85"/>
      <c r="GOI2" s="85"/>
      <c r="GOJ2" s="85"/>
      <c r="GOK2" s="85"/>
      <c r="GOL2" s="85"/>
      <c r="GOM2" s="85"/>
      <c r="GON2" s="85"/>
      <c r="GOO2" s="85"/>
      <c r="GOP2" s="85"/>
      <c r="GOQ2" s="85"/>
      <c r="GOR2" s="85"/>
      <c r="GOS2" s="85"/>
      <c r="GOT2" s="85"/>
      <c r="GOU2" s="85"/>
      <c r="GOV2" s="85"/>
      <c r="GOW2" s="85"/>
      <c r="GOX2" s="85"/>
      <c r="GOY2" s="85"/>
      <c r="GOZ2" s="85"/>
      <c r="GPA2" s="85"/>
      <c r="GPB2" s="85"/>
      <c r="GPC2" s="85"/>
      <c r="GPD2" s="85"/>
      <c r="GPE2" s="85"/>
      <c r="GPF2" s="85"/>
      <c r="GPG2" s="85"/>
      <c r="GPH2" s="85"/>
      <c r="GPI2" s="85"/>
      <c r="GPJ2" s="85"/>
      <c r="GPK2" s="85"/>
      <c r="GPL2" s="85"/>
      <c r="GPM2" s="85"/>
      <c r="GPN2" s="85"/>
      <c r="GPO2" s="85"/>
      <c r="GPP2" s="85"/>
      <c r="GPQ2" s="85"/>
      <c r="GPR2" s="85"/>
      <c r="GPS2" s="85"/>
      <c r="GPT2" s="85"/>
      <c r="GPU2" s="85"/>
      <c r="GPV2" s="85"/>
      <c r="GPW2" s="85"/>
      <c r="GPX2" s="85"/>
      <c r="GPY2" s="85"/>
      <c r="GPZ2" s="85"/>
      <c r="GQA2" s="85"/>
      <c r="GQB2" s="85"/>
      <c r="GQC2" s="85"/>
      <c r="GQD2" s="85"/>
      <c r="GQE2" s="85"/>
      <c r="GQF2" s="85"/>
      <c r="GQG2" s="85"/>
      <c r="GQH2" s="85"/>
      <c r="GQI2" s="85"/>
      <c r="GQJ2" s="85"/>
      <c r="GQK2" s="85"/>
      <c r="GQL2" s="85"/>
      <c r="GQM2" s="85"/>
      <c r="GQN2" s="85"/>
      <c r="GQO2" s="85"/>
      <c r="GQP2" s="85"/>
      <c r="GQQ2" s="85"/>
      <c r="GQR2" s="85"/>
      <c r="GQS2" s="85"/>
      <c r="GQT2" s="85"/>
      <c r="GQU2" s="85"/>
      <c r="GQV2" s="85"/>
      <c r="GQW2" s="85"/>
      <c r="GQX2" s="85"/>
      <c r="GQY2" s="85"/>
      <c r="GQZ2" s="85"/>
      <c r="GRA2" s="85"/>
      <c r="GRB2" s="85"/>
      <c r="GRC2" s="85"/>
      <c r="GRD2" s="85"/>
      <c r="GRE2" s="85"/>
      <c r="GRF2" s="85"/>
      <c r="GRG2" s="85"/>
      <c r="GRH2" s="85"/>
      <c r="GRI2" s="85"/>
      <c r="GRJ2" s="85"/>
      <c r="GRK2" s="85"/>
      <c r="GRL2" s="85"/>
      <c r="GRM2" s="85"/>
      <c r="GRN2" s="85"/>
      <c r="GRO2" s="85"/>
      <c r="GRP2" s="85"/>
      <c r="GRQ2" s="85"/>
      <c r="GRR2" s="85"/>
      <c r="GRS2" s="85"/>
      <c r="GRT2" s="85"/>
      <c r="GRU2" s="85"/>
      <c r="GRV2" s="85"/>
      <c r="GRW2" s="85"/>
      <c r="GRX2" s="85"/>
      <c r="GRY2" s="85"/>
      <c r="GRZ2" s="85"/>
      <c r="GSA2" s="85"/>
      <c r="GSB2" s="85"/>
      <c r="GSC2" s="85"/>
      <c r="GSD2" s="85"/>
      <c r="GSE2" s="85"/>
      <c r="GSF2" s="85"/>
      <c r="GSG2" s="85"/>
      <c r="GSH2" s="85"/>
      <c r="GSI2" s="85"/>
      <c r="GSJ2" s="85"/>
      <c r="GSK2" s="85"/>
      <c r="GSL2" s="85"/>
      <c r="GSM2" s="85"/>
      <c r="GSN2" s="85"/>
      <c r="GSO2" s="85"/>
      <c r="GSP2" s="85"/>
      <c r="GSQ2" s="85"/>
      <c r="GSR2" s="85"/>
      <c r="GSS2" s="85"/>
      <c r="GST2" s="85"/>
      <c r="GSU2" s="85"/>
      <c r="GSV2" s="85"/>
      <c r="GSW2" s="85"/>
      <c r="GSX2" s="85"/>
      <c r="GSY2" s="85"/>
      <c r="GSZ2" s="85"/>
      <c r="GTA2" s="85"/>
      <c r="GTB2" s="85"/>
      <c r="GTC2" s="85"/>
      <c r="GTD2" s="85"/>
      <c r="GTE2" s="85"/>
      <c r="GTF2" s="85"/>
      <c r="GTG2" s="85"/>
      <c r="GTH2" s="85"/>
      <c r="GTI2" s="85"/>
      <c r="GTJ2" s="85"/>
      <c r="GTK2" s="85"/>
      <c r="GTL2" s="85"/>
      <c r="GTM2" s="85"/>
      <c r="GTN2" s="85"/>
      <c r="GTO2" s="85"/>
      <c r="GTP2" s="85"/>
      <c r="GTQ2" s="85"/>
      <c r="GTR2" s="85"/>
      <c r="GTS2" s="85"/>
      <c r="GTT2" s="85"/>
      <c r="GTU2" s="85"/>
      <c r="GTV2" s="85"/>
      <c r="GTW2" s="85"/>
      <c r="GTX2" s="85"/>
      <c r="GTY2" s="85"/>
      <c r="GTZ2" s="85"/>
      <c r="GUA2" s="85"/>
      <c r="GUB2" s="85"/>
      <c r="GUC2" s="85"/>
      <c r="GUD2" s="85"/>
      <c r="GUE2" s="85"/>
      <c r="GUF2" s="85"/>
      <c r="GUG2" s="85"/>
      <c r="GUH2" s="85"/>
      <c r="GUI2" s="85"/>
      <c r="GUJ2" s="85"/>
      <c r="GUK2" s="85"/>
      <c r="GUL2" s="85"/>
      <c r="GUM2" s="85"/>
      <c r="GUN2" s="85"/>
      <c r="GUO2" s="85"/>
      <c r="GUP2" s="85"/>
      <c r="GUQ2" s="85"/>
      <c r="GUR2" s="85"/>
      <c r="GUS2" s="85"/>
      <c r="GUT2" s="85"/>
      <c r="GUU2" s="85"/>
      <c r="GUV2" s="85"/>
      <c r="GUW2" s="85"/>
      <c r="GUX2" s="85"/>
      <c r="GUY2" s="85"/>
      <c r="GUZ2" s="85"/>
      <c r="GVA2" s="85"/>
      <c r="GVB2" s="85"/>
      <c r="GVC2" s="85"/>
      <c r="GVD2" s="85"/>
      <c r="GVE2" s="85"/>
      <c r="GVF2" s="85"/>
      <c r="GVG2" s="85"/>
      <c r="GVH2" s="85"/>
      <c r="GVI2" s="85"/>
      <c r="GVJ2" s="85"/>
      <c r="GVK2" s="85"/>
      <c r="GVL2" s="85"/>
      <c r="GVM2" s="85"/>
      <c r="GVN2" s="85"/>
      <c r="GVO2" s="85"/>
      <c r="GVP2" s="85"/>
      <c r="GVQ2" s="85"/>
      <c r="GVR2" s="85"/>
      <c r="GVS2" s="85"/>
      <c r="GVT2" s="85"/>
      <c r="GVU2" s="85"/>
      <c r="GVV2" s="85"/>
      <c r="GVW2" s="85"/>
      <c r="GVX2" s="85"/>
      <c r="GVY2" s="85"/>
      <c r="GVZ2" s="85"/>
      <c r="GWA2" s="85"/>
      <c r="GWB2" s="85"/>
      <c r="GWC2" s="85"/>
      <c r="GWD2" s="85"/>
      <c r="GWE2" s="85"/>
      <c r="GWF2" s="85"/>
      <c r="GWG2" s="85"/>
      <c r="GWH2" s="85"/>
      <c r="GWI2" s="85"/>
      <c r="GWJ2" s="85"/>
      <c r="GWK2" s="85"/>
      <c r="GWL2" s="85"/>
      <c r="GWM2" s="85"/>
      <c r="GWN2" s="85"/>
      <c r="GWO2" s="85"/>
      <c r="GWP2" s="85"/>
      <c r="GWQ2" s="85"/>
      <c r="GWR2" s="85"/>
      <c r="GWS2" s="85"/>
      <c r="GWT2" s="85"/>
      <c r="GWU2" s="85"/>
      <c r="GWV2" s="85"/>
      <c r="GWW2" s="85"/>
      <c r="GWX2" s="85"/>
      <c r="GWY2" s="85"/>
      <c r="GWZ2" s="85"/>
      <c r="GXA2" s="85"/>
      <c r="GXB2" s="85"/>
      <c r="GXC2" s="85"/>
      <c r="GXD2" s="85"/>
      <c r="GXE2" s="85"/>
      <c r="GXF2" s="85"/>
      <c r="GXG2" s="85"/>
      <c r="GXH2" s="85"/>
      <c r="GXI2" s="85"/>
      <c r="GXJ2" s="85"/>
      <c r="GXK2" s="85"/>
      <c r="GXL2" s="85"/>
      <c r="GXM2" s="85"/>
      <c r="GXN2" s="85"/>
      <c r="GXO2" s="85"/>
      <c r="GXP2" s="85"/>
      <c r="GXQ2" s="85"/>
      <c r="GXR2" s="85"/>
      <c r="GXS2" s="85"/>
      <c r="GXT2" s="85"/>
      <c r="GXU2" s="85"/>
      <c r="GXV2" s="85"/>
      <c r="GXW2" s="85"/>
      <c r="GXX2" s="85"/>
      <c r="GXY2" s="85"/>
      <c r="GXZ2" s="85"/>
      <c r="GYA2" s="85"/>
      <c r="GYB2" s="85"/>
      <c r="GYC2" s="85"/>
      <c r="GYD2" s="85"/>
      <c r="GYE2" s="85"/>
      <c r="GYF2" s="85"/>
      <c r="GYG2" s="85"/>
      <c r="GYH2" s="85"/>
      <c r="GYI2" s="85"/>
      <c r="GYJ2" s="85"/>
      <c r="GYK2" s="85"/>
      <c r="GYL2" s="85"/>
      <c r="GYM2" s="85"/>
      <c r="GYN2" s="85"/>
      <c r="GYO2" s="85"/>
      <c r="GYP2" s="85"/>
      <c r="GYQ2" s="85"/>
      <c r="GYR2" s="85"/>
      <c r="GYS2" s="85"/>
      <c r="GYT2" s="85"/>
      <c r="GYU2" s="85"/>
      <c r="GYV2" s="85"/>
      <c r="GYW2" s="85"/>
      <c r="GYX2" s="85"/>
      <c r="GYY2" s="85"/>
      <c r="GYZ2" s="85"/>
      <c r="GZA2" s="85"/>
      <c r="GZB2" s="85"/>
      <c r="GZC2" s="85"/>
      <c r="GZD2" s="85"/>
      <c r="GZE2" s="85"/>
      <c r="GZF2" s="85"/>
      <c r="GZG2" s="85"/>
      <c r="GZH2" s="85"/>
      <c r="GZI2" s="85"/>
      <c r="GZJ2" s="85"/>
      <c r="GZK2" s="85"/>
      <c r="GZL2" s="85"/>
      <c r="GZM2" s="85"/>
      <c r="GZN2" s="85"/>
      <c r="GZO2" s="85"/>
      <c r="GZP2" s="85"/>
      <c r="GZQ2" s="85"/>
      <c r="GZR2" s="85"/>
      <c r="GZS2" s="85"/>
      <c r="GZT2" s="85"/>
      <c r="GZU2" s="85"/>
      <c r="GZV2" s="85"/>
      <c r="GZW2" s="85"/>
      <c r="GZX2" s="85"/>
      <c r="GZY2" s="85"/>
      <c r="GZZ2" s="85"/>
      <c r="HAA2" s="85"/>
      <c r="HAB2" s="85"/>
      <c r="HAC2" s="85"/>
      <c r="HAD2" s="85"/>
      <c r="HAE2" s="85"/>
      <c r="HAF2" s="85"/>
      <c r="HAG2" s="85"/>
      <c r="HAH2" s="85"/>
      <c r="HAI2" s="85"/>
      <c r="HAJ2" s="85"/>
      <c r="HAK2" s="85"/>
      <c r="HAL2" s="85"/>
      <c r="HAM2" s="85"/>
      <c r="HAN2" s="85"/>
      <c r="HAO2" s="85"/>
      <c r="HAP2" s="85"/>
      <c r="HAQ2" s="85"/>
      <c r="HAR2" s="85"/>
      <c r="HAS2" s="85"/>
      <c r="HAT2" s="85"/>
      <c r="HAU2" s="85"/>
      <c r="HAV2" s="85"/>
      <c r="HAW2" s="85"/>
      <c r="HAX2" s="85"/>
      <c r="HAY2" s="85"/>
      <c r="HAZ2" s="85"/>
      <c r="HBA2" s="85"/>
      <c r="HBB2" s="85"/>
      <c r="HBC2" s="85"/>
      <c r="HBD2" s="85"/>
      <c r="HBE2" s="85"/>
      <c r="HBF2" s="85"/>
      <c r="HBG2" s="85"/>
      <c r="HBH2" s="85"/>
      <c r="HBI2" s="85"/>
      <c r="HBJ2" s="85"/>
      <c r="HBK2" s="85"/>
      <c r="HBL2" s="85"/>
      <c r="HBM2" s="85"/>
      <c r="HBN2" s="85"/>
      <c r="HBO2" s="85"/>
      <c r="HBP2" s="85"/>
      <c r="HBQ2" s="85"/>
      <c r="HBR2" s="85"/>
      <c r="HBS2" s="85"/>
      <c r="HBT2" s="85"/>
      <c r="HBU2" s="85"/>
      <c r="HBV2" s="85"/>
      <c r="HBW2" s="85"/>
      <c r="HBX2" s="85"/>
      <c r="HBY2" s="85"/>
      <c r="HBZ2" s="85"/>
      <c r="HCA2" s="85"/>
      <c r="HCB2" s="85"/>
      <c r="HCC2" s="85"/>
      <c r="HCD2" s="85"/>
      <c r="HCE2" s="85"/>
      <c r="HCF2" s="85"/>
      <c r="HCG2" s="85"/>
      <c r="HCH2" s="85"/>
      <c r="HCI2" s="85"/>
      <c r="HCJ2" s="85"/>
      <c r="HCK2" s="85"/>
      <c r="HCL2" s="85"/>
      <c r="HCM2" s="85"/>
      <c r="HCN2" s="85"/>
      <c r="HCO2" s="85"/>
      <c r="HCP2" s="85"/>
      <c r="HCQ2" s="85"/>
      <c r="HCR2" s="85"/>
      <c r="HCS2" s="85"/>
      <c r="HCT2" s="85"/>
      <c r="HCU2" s="85"/>
      <c r="HCV2" s="85"/>
      <c r="HCW2" s="85"/>
      <c r="HCX2" s="85"/>
      <c r="HCY2" s="85"/>
      <c r="HCZ2" s="85"/>
      <c r="HDA2" s="85"/>
      <c r="HDB2" s="85"/>
      <c r="HDC2" s="85"/>
      <c r="HDD2" s="85"/>
      <c r="HDE2" s="85"/>
      <c r="HDF2" s="85"/>
      <c r="HDG2" s="85"/>
      <c r="HDH2" s="85"/>
      <c r="HDI2" s="85"/>
      <c r="HDJ2" s="85"/>
      <c r="HDK2" s="85"/>
      <c r="HDL2" s="85"/>
      <c r="HDM2" s="85"/>
      <c r="HDN2" s="85"/>
      <c r="HDO2" s="85"/>
      <c r="HDP2" s="85"/>
      <c r="HDQ2" s="85"/>
      <c r="HDR2" s="85"/>
      <c r="HDS2" s="85"/>
      <c r="HDT2" s="85"/>
      <c r="HDU2" s="85"/>
      <c r="HDV2" s="85"/>
      <c r="HDW2" s="85"/>
      <c r="HDX2" s="85"/>
      <c r="HDY2" s="85"/>
      <c r="HDZ2" s="85"/>
      <c r="HEA2" s="85"/>
      <c r="HEB2" s="85"/>
      <c r="HEC2" s="85"/>
      <c r="HED2" s="85"/>
      <c r="HEE2" s="85"/>
      <c r="HEF2" s="85"/>
      <c r="HEG2" s="85"/>
      <c r="HEH2" s="85"/>
      <c r="HEI2" s="85"/>
      <c r="HEJ2" s="85"/>
      <c r="HEK2" s="85"/>
      <c r="HEL2" s="85"/>
      <c r="HEM2" s="85"/>
      <c r="HEN2" s="85"/>
      <c r="HEO2" s="85"/>
      <c r="HEP2" s="85"/>
      <c r="HEQ2" s="85"/>
      <c r="HER2" s="85"/>
      <c r="HES2" s="85"/>
      <c r="HET2" s="85"/>
      <c r="HEU2" s="85"/>
      <c r="HEV2" s="85"/>
      <c r="HEW2" s="85"/>
      <c r="HEX2" s="85"/>
      <c r="HEY2" s="85"/>
      <c r="HEZ2" s="85"/>
      <c r="HFA2" s="85"/>
      <c r="HFB2" s="85"/>
      <c r="HFC2" s="85"/>
      <c r="HFD2" s="85"/>
      <c r="HFE2" s="85"/>
      <c r="HFF2" s="85"/>
      <c r="HFG2" s="85"/>
      <c r="HFH2" s="85"/>
      <c r="HFI2" s="85"/>
      <c r="HFJ2" s="85"/>
      <c r="HFK2" s="85"/>
      <c r="HFL2" s="85"/>
      <c r="HFM2" s="85"/>
      <c r="HFN2" s="85"/>
      <c r="HFO2" s="85"/>
      <c r="HFP2" s="85"/>
      <c r="HFQ2" s="85"/>
      <c r="HFR2" s="85"/>
      <c r="HFS2" s="85"/>
      <c r="HFT2" s="85"/>
      <c r="HFU2" s="85"/>
      <c r="HFV2" s="85"/>
      <c r="HFW2" s="85"/>
      <c r="HFX2" s="85"/>
      <c r="HFY2" s="85"/>
      <c r="HFZ2" s="85"/>
      <c r="HGA2" s="85"/>
      <c r="HGB2" s="85"/>
      <c r="HGC2" s="85"/>
      <c r="HGD2" s="85"/>
      <c r="HGE2" s="85"/>
      <c r="HGF2" s="85"/>
      <c r="HGG2" s="85"/>
      <c r="HGH2" s="85"/>
      <c r="HGI2" s="85"/>
      <c r="HGJ2" s="85"/>
      <c r="HGK2" s="85"/>
      <c r="HGL2" s="85"/>
      <c r="HGM2" s="85"/>
      <c r="HGN2" s="85"/>
      <c r="HGO2" s="85"/>
      <c r="HGP2" s="85"/>
      <c r="HGQ2" s="85"/>
      <c r="HGR2" s="85"/>
      <c r="HGS2" s="85"/>
      <c r="HGT2" s="85"/>
      <c r="HGU2" s="85"/>
      <c r="HGV2" s="85"/>
      <c r="HGW2" s="85"/>
      <c r="HGX2" s="85"/>
      <c r="HGY2" s="85"/>
      <c r="HGZ2" s="85"/>
      <c r="HHA2" s="85"/>
      <c r="HHB2" s="85"/>
      <c r="HHC2" s="85"/>
      <c r="HHD2" s="85"/>
      <c r="HHE2" s="85"/>
      <c r="HHF2" s="85"/>
      <c r="HHG2" s="85"/>
      <c r="HHH2" s="85"/>
      <c r="HHI2" s="85"/>
      <c r="HHJ2" s="85"/>
      <c r="HHK2" s="85"/>
      <c r="HHL2" s="85"/>
      <c r="HHM2" s="85"/>
      <c r="HHN2" s="85"/>
      <c r="HHO2" s="85"/>
      <c r="HHP2" s="85"/>
      <c r="HHQ2" s="85"/>
      <c r="HHR2" s="85"/>
      <c r="HHS2" s="85"/>
      <c r="HHT2" s="85"/>
      <c r="HHU2" s="85"/>
      <c r="HHV2" s="85"/>
      <c r="HHW2" s="85"/>
      <c r="HHX2" s="85"/>
      <c r="HHY2" s="85"/>
      <c r="HHZ2" s="85"/>
      <c r="HIA2" s="85"/>
      <c r="HIB2" s="85"/>
      <c r="HIC2" s="85"/>
      <c r="HID2" s="85"/>
      <c r="HIE2" s="85"/>
      <c r="HIF2" s="85"/>
      <c r="HIG2" s="85"/>
      <c r="HIH2" s="85"/>
      <c r="HII2" s="85"/>
      <c r="HIJ2" s="85"/>
      <c r="HIK2" s="85"/>
      <c r="HIL2" s="85"/>
      <c r="HIM2" s="85"/>
      <c r="HIN2" s="85"/>
      <c r="HIO2" s="85"/>
      <c r="HIP2" s="85"/>
      <c r="HIQ2" s="85"/>
      <c r="HIR2" s="85"/>
      <c r="HIS2" s="85"/>
      <c r="HIT2" s="85"/>
      <c r="HIU2" s="85"/>
      <c r="HIV2" s="85"/>
      <c r="HIW2" s="85"/>
      <c r="HIX2" s="85"/>
      <c r="HIY2" s="85"/>
      <c r="HIZ2" s="85"/>
      <c r="HJA2" s="85"/>
      <c r="HJB2" s="85"/>
      <c r="HJC2" s="85"/>
      <c r="HJD2" s="85"/>
      <c r="HJE2" s="85"/>
      <c r="HJF2" s="85"/>
      <c r="HJG2" s="85"/>
      <c r="HJH2" s="85"/>
      <c r="HJI2" s="85"/>
      <c r="HJJ2" s="85"/>
      <c r="HJK2" s="85"/>
      <c r="HJL2" s="85"/>
      <c r="HJM2" s="85"/>
      <c r="HJN2" s="85"/>
      <c r="HJO2" s="85"/>
      <c r="HJP2" s="85"/>
      <c r="HJQ2" s="85"/>
      <c r="HJR2" s="85"/>
      <c r="HJS2" s="85"/>
      <c r="HJT2" s="85"/>
      <c r="HJU2" s="85"/>
      <c r="HJV2" s="85"/>
      <c r="HJW2" s="85"/>
      <c r="HJX2" s="85"/>
      <c r="HJY2" s="85"/>
      <c r="HJZ2" s="85"/>
      <c r="HKA2" s="85"/>
      <c r="HKB2" s="85"/>
      <c r="HKC2" s="85"/>
      <c r="HKD2" s="85"/>
      <c r="HKE2" s="85"/>
      <c r="HKF2" s="85"/>
      <c r="HKG2" s="85"/>
      <c r="HKH2" s="85"/>
      <c r="HKI2" s="85"/>
      <c r="HKJ2" s="85"/>
      <c r="HKK2" s="85"/>
      <c r="HKL2" s="85"/>
      <c r="HKM2" s="85"/>
      <c r="HKN2" s="85"/>
      <c r="HKO2" s="85"/>
      <c r="HKP2" s="85"/>
      <c r="HKQ2" s="85"/>
      <c r="HKR2" s="85"/>
      <c r="HKS2" s="85"/>
      <c r="HKT2" s="85"/>
      <c r="HKU2" s="85"/>
      <c r="HKV2" s="85"/>
      <c r="HKW2" s="85"/>
      <c r="HKX2" s="85"/>
      <c r="HKY2" s="85"/>
      <c r="HKZ2" s="85"/>
      <c r="HLA2" s="85"/>
      <c r="HLB2" s="85"/>
      <c r="HLC2" s="85"/>
      <c r="HLD2" s="85"/>
      <c r="HLE2" s="85"/>
      <c r="HLF2" s="85"/>
      <c r="HLG2" s="85"/>
      <c r="HLH2" s="85"/>
      <c r="HLI2" s="85"/>
      <c r="HLJ2" s="85"/>
      <c r="HLK2" s="85"/>
      <c r="HLL2" s="85"/>
      <c r="HLM2" s="85"/>
      <c r="HLN2" s="85"/>
      <c r="HLO2" s="85"/>
      <c r="HLP2" s="85"/>
      <c r="HLQ2" s="85"/>
      <c r="HLR2" s="85"/>
      <c r="HLS2" s="85"/>
      <c r="HLT2" s="85"/>
      <c r="HLU2" s="85"/>
      <c r="HLV2" s="85"/>
      <c r="HLW2" s="85"/>
      <c r="HLX2" s="85"/>
      <c r="HLY2" s="85"/>
      <c r="HLZ2" s="85"/>
      <c r="HMA2" s="85"/>
      <c r="HMB2" s="85"/>
      <c r="HMC2" s="85"/>
      <c r="HMD2" s="85"/>
      <c r="HME2" s="85"/>
      <c r="HMF2" s="85"/>
      <c r="HMG2" s="85"/>
      <c r="HMH2" s="85"/>
      <c r="HMI2" s="85"/>
      <c r="HMJ2" s="85"/>
      <c r="HMK2" s="85"/>
      <c r="HML2" s="85"/>
      <c r="HMM2" s="85"/>
      <c r="HMN2" s="85"/>
      <c r="HMO2" s="85"/>
      <c r="HMP2" s="85"/>
      <c r="HMQ2" s="85"/>
      <c r="HMR2" s="85"/>
      <c r="HMS2" s="85"/>
      <c r="HMT2" s="85"/>
      <c r="HMU2" s="85"/>
      <c r="HMV2" s="85"/>
      <c r="HMW2" s="85"/>
      <c r="HMX2" s="85"/>
      <c r="HMY2" s="85"/>
      <c r="HMZ2" s="85"/>
      <c r="HNA2" s="85"/>
      <c r="HNB2" s="85"/>
      <c r="HNC2" s="85"/>
      <c r="HND2" s="85"/>
      <c r="HNE2" s="85"/>
      <c r="HNF2" s="85"/>
      <c r="HNG2" s="85"/>
      <c r="HNH2" s="85"/>
      <c r="HNI2" s="85"/>
      <c r="HNJ2" s="85"/>
      <c r="HNK2" s="85"/>
      <c r="HNL2" s="85"/>
      <c r="HNM2" s="85"/>
      <c r="HNN2" s="85"/>
      <c r="HNO2" s="85"/>
      <c r="HNP2" s="85"/>
      <c r="HNQ2" s="85"/>
      <c r="HNR2" s="85"/>
      <c r="HNS2" s="85"/>
      <c r="HNT2" s="85"/>
      <c r="HNU2" s="85"/>
      <c r="HNV2" s="85"/>
      <c r="HNW2" s="85"/>
      <c r="HNX2" s="85"/>
      <c r="HNY2" s="85"/>
      <c r="HNZ2" s="85"/>
      <c r="HOA2" s="85"/>
      <c r="HOB2" s="85"/>
      <c r="HOC2" s="85"/>
      <c r="HOD2" s="85"/>
      <c r="HOE2" s="85"/>
      <c r="HOF2" s="85"/>
      <c r="HOG2" s="85"/>
      <c r="HOH2" s="85"/>
      <c r="HOI2" s="85"/>
      <c r="HOJ2" s="85"/>
      <c r="HOK2" s="85"/>
      <c r="HOL2" s="85"/>
      <c r="HOM2" s="85"/>
      <c r="HON2" s="85"/>
      <c r="HOO2" s="85"/>
      <c r="HOP2" s="85"/>
      <c r="HOQ2" s="85"/>
      <c r="HOR2" s="85"/>
      <c r="HOS2" s="85"/>
      <c r="HOT2" s="85"/>
      <c r="HOU2" s="85"/>
      <c r="HOV2" s="85"/>
      <c r="HOW2" s="85"/>
      <c r="HOX2" s="85"/>
      <c r="HOY2" s="85"/>
      <c r="HOZ2" s="85"/>
      <c r="HPA2" s="85"/>
      <c r="HPB2" s="85"/>
      <c r="HPC2" s="85"/>
      <c r="HPD2" s="85"/>
      <c r="HPE2" s="85"/>
      <c r="HPF2" s="85"/>
      <c r="HPG2" s="85"/>
      <c r="HPH2" s="85"/>
      <c r="HPI2" s="85"/>
      <c r="HPJ2" s="85"/>
      <c r="HPK2" s="85"/>
      <c r="HPL2" s="85"/>
      <c r="HPM2" s="85"/>
      <c r="HPN2" s="85"/>
      <c r="HPO2" s="85"/>
      <c r="HPP2" s="85"/>
      <c r="HPQ2" s="85"/>
      <c r="HPR2" s="85"/>
      <c r="HPS2" s="85"/>
      <c r="HPT2" s="85"/>
      <c r="HPU2" s="85"/>
      <c r="HPV2" s="85"/>
      <c r="HPW2" s="85"/>
      <c r="HPX2" s="85"/>
      <c r="HPY2" s="85"/>
      <c r="HPZ2" s="85"/>
      <c r="HQA2" s="85"/>
      <c r="HQB2" s="85"/>
      <c r="HQC2" s="85"/>
      <c r="HQD2" s="85"/>
      <c r="HQE2" s="85"/>
      <c r="HQF2" s="85"/>
      <c r="HQG2" s="85"/>
      <c r="HQH2" s="85"/>
      <c r="HQI2" s="85"/>
      <c r="HQJ2" s="85"/>
      <c r="HQK2" s="85"/>
      <c r="HQL2" s="85"/>
      <c r="HQM2" s="85"/>
      <c r="HQN2" s="85"/>
      <c r="HQO2" s="85"/>
      <c r="HQP2" s="85"/>
      <c r="HQQ2" s="85"/>
      <c r="HQR2" s="85"/>
      <c r="HQS2" s="85"/>
      <c r="HQT2" s="85"/>
      <c r="HQU2" s="85"/>
      <c r="HQV2" s="85"/>
      <c r="HQW2" s="85"/>
      <c r="HQX2" s="85"/>
      <c r="HQY2" s="85"/>
      <c r="HQZ2" s="85"/>
      <c r="HRA2" s="85"/>
      <c r="HRB2" s="85"/>
      <c r="HRC2" s="85"/>
      <c r="HRD2" s="85"/>
      <c r="HRE2" s="85"/>
      <c r="HRF2" s="85"/>
      <c r="HRG2" s="85"/>
      <c r="HRH2" s="85"/>
      <c r="HRI2" s="85"/>
      <c r="HRJ2" s="85"/>
      <c r="HRK2" s="85"/>
      <c r="HRL2" s="85"/>
      <c r="HRM2" s="85"/>
      <c r="HRN2" s="85"/>
      <c r="HRO2" s="85"/>
      <c r="HRP2" s="85"/>
      <c r="HRQ2" s="85"/>
      <c r="HRR2" s="85"/>
      <c r="HRS2" s="85"/>
      <c r="HRT2" s="85"/>
      <c r="HRU2" s="85"/>
      <c r="HRV2" s="85"/>
      <c r="HRW2" s="85"/>
      <c r="HRX2" s="85"/>
      <c r="HRY2" s="85"/>
      <c r="HRZ2" s="85"/>
      <c r="HSA2" s="85"/>
      <c r="HSB2" s="85"/>
      <c r="HSC2" s="85"/>
      <c r="HSD2" s="85"/>
      <c r="HSE2" s="85"/>
      <c r="HSF2" s="85"/>
      <c r="HSG2" s="85"/>
      <c r="HSH2" s="85"/>
      <c r="HSI2" s="85"/>
      <c r="HSJ2" s="85"/>
      <c r="HSK2" s="85"/>
      <c r="HSL2" s="85"/>
      <c r="HSM2" s="85"/>
      <c r="HSN2" s="85"/>
      <c r="HSO2" s="85"/>
      <c r="HSP2" s="85"/>
      <c r="HSQ2" s="85"/>
      <c r="HSR2" s="85"/>
      <c r="HSS2" s="85"/>
      <c r="HST2" s="85"/>
      <c r="HSU2" s="85"/>
      <c r="HSV2" s="85"/>
      <c r="HSW2" s="85"/>
      <c r="HSX2" s="85"/>
      <c r="HSY2" s="85"/>
      <c r="HSZ2" s="85"/>
      <c r="HTA2" s="85"/>
      <c r="HTB2" s="85"/>
      <c r="HTC2" s="85"/>
      <c r="HTD2" s="85"/>
      <c r="HTE2" s="85"/>
      <c r="HTF2" s="85"/>
      <c r="HTG2" s="85"/>
      <c r="HTH2" s="85"/>
      <c r="HTI2" s="85"/>
      <c r="HTJ2" s="85"/>
      <c r="HTK2" s="85"/>
      <c r="HTL2" s="85"/>
      <c r="HTM2" s="85"/>
      <c r="HTN2" s="85"/>
      <c r="HTO2" s="85"/>
      <c r="HTP2" s="85"/>
      <c r="HTQ2" s="85"/>
      <c r="HTR2" s="85"/>
      <c r="HTS2" s="85"/>
      <c r="HTT2" s="85"/>
      <c r="HTU2" s="85"/>
      <c r="HTV2" s="85"/>
      <c r="HTW2" s="85"/>
      <c r="HTX2" s="85"/>
      <c r="HTY2" s="85"/>
      <c r="HTZ2" s="85"/>
      <c r="HUA2" s="85"/>
      <c r="HUB2" s="85"/>
      <c r="HUC2" s="85"/>
      <c r="HUD2" s="85"/>
      <c r="HUE2" s="85"/>
      <c r="HUF2" s="85"/>
      <c r="HUG2" s="85"/>
      <c r="HUH2" s="85"/>
      <c r="HUI2" s="85"/>
      <c r="HUJ2" s="85"/>
      <c r="HUK2" s="85"/>
      <c r="HUL2" s="85"/>
      <c r="HUM2" s="85"/>
      <c r="HUN2" s="85"/>
      <c r="HUO2" s="85"/>
      <c r="HUP2" s="85"/>
      <c r="HUQ2" s="85"/>
      <c r="HUR2" s="85"/>
      <c r="HUS2" s="85"/>
      <c r="HUT2" s="85"/>
      <c r="HUU2" s="85"/>
      <c r="HUV2" s="85"/>
      <c r="HUW2" s="85"/>
      <c r="HUX2" s="85"/>
      <c r="HUY2" s="85"/>
      <c r="HUZ2" s="85"/>
      <c r="HVA2" s="85"/>
      <c r="HVB2" s="85"/>
      <c r="HVC2" s="85"/>
      <c r="HVD2" s="85"/>
      <c r="HVE2" s="85"/>
      <c r="HVF2" s="85"/>
      <c r="HVG2" s="85"/>
      <c r="HVH2" s="85"/>
      <c r="HVI2" s="85"/>
      <c r="HVJ2" s="85"/>
      <c r="HVK2" s="85"/>
      <c r="HVL2" s="85"/>
      <c r="HVM2" s="85"/>
      <c r="HVN2" s="85"/>
      <c r="HVO2" s="85"/>
      <c r="HVP2" s="85"/>
      <c r="HVQ2" s="85"/>
      <c r="HVR2" s="85"/>
      <c r="HVS2" s="85"/>
      <c r="HVT2" s="85"/>
      <c r="HVU2" s="85"/>
      <c r="HVV2" s="85"/>
      <c r="HVW2" s="85"/>
      <c r="HVX2" s="85"/>
      <c r="HVY2" s="85"/>
      <c r="HVZ2" s="85"/>
      <c r="HWA2" s="85"/>
      <c r="HWB2" s="85"/>
      <c r="HWC2" s="85"/>
      <c r="HWD2" s="85"/>
      <c r="HWE2" s="85"/>
      <c r="HWF2" s="85"/>
      <c r="HWG2" s="85"/>
      <c r="HWH2" s="85"/>
      <c r="HWI2" s="85"/>
      <c r="HWJ2" s="85"/>
      <c r="HWK2" s="85"/>
      <c r="HWL2" s="85"/>
      <c r="HWM2" s="85"/>
      <c r="HWN2" s="85"/>
      <c r="HWO2" s="85"/>
      <c r="HWP2" s="85"/>
      <c r="HWQ2" s="85"/>
      <c r="HWR2" s="85"/>
      <c r="HWS2" s="85"/>
      <c r="HWT2" s="85"/>
      <c r="HWU2" s="85"/>
      <c r="HWV2" s="85"/>
      <c r="HWW2" s="85"/>
      <c r="HWX2" s="85"/>
      <c r="HWY2" s="85"/>
      <c r="HWZ2" s="85"/>
      <c r="HXA2" s="85"/>
      <c r="HXB2" s="85"/>
      <c r="HXC2" s="85"/>
      <c r="HXD2" s="85"/>
      <c r="HXE2" s="85"/>
      <c r="HXF2" s="85"/>
      <c r="HXG2" s="85"/>
      <c r="HXH2" s="85"/>
      <c r="HXI2" s="85"/>
      <c r="HXJ2" s="85"/>
      <c r="HXK2" s="85"/>
      <c r="HXL2" s="85"/>
      <c r="HXM2" s="85"/>
      <c r="HXN2" s="85"/>
      <c r="HXO2" s="85"/>
      <c r="HXP2" s="85"/>
      <c r="HXQ2" s="85"/>
      <c r="HXR2" s="85"/>
      <c r="HXS2" s="85"/>
      <c r="HXT2" s="85"/>
      <c r="HXU2" s="85"/>
      <c r="HXV2" s="85"/>
      <c r="HXW2" s="85"/>
      <c r="HXX2" s="85"/>
      <c r="HXY2" s="85"/>
      <c r="HXZ2" s="85"/>
      <c r="HYA2" s="85"/>
      <c r="HYB2" s="85"/>
      <c r="HYC2" s="85"/>
      <c r="HYD2" s="85"/>
      <c r="HYE2" s="85"/>
      <c r="HYF2" s="85"/>
      <c r="HYG2" s="85"/>
      <c r="HYH2" s="85"/>
      <c r="HYI2" s="85"/>
      <c r="HYJ2" s="85"/>
      <c r="HYK2" s="85"/>
      <c r="HYL2" s="85"/>
      <c r="HYM2" s="85"/>
      <c r="HYN2" s="85"/>
      <c r="HYO2" s="85"/>
      <c r="HYP2" s="85"/>
      <c r="HYQ2" s="85"/>
      <c r="HYR2" s="85"/>
      <c r="HYS2" s="85"/>
      <c r="HYT2" s="85"/>
      <c r="HYU2" s="85"/>
      <c r="HYV2" s="85"/>
      <c r="HYW2" s="85"/>
      <c r="HYX2" s="85"/>
      <c r="HYY2" s="85"/>
      <c r="HYZ2" s="85"/>
      <c r="HZA2" s="85"/>
      <c r="HZB2" s="85"/>
      <c r="HZC2" s="85"/>
      <c r="HZD2" s="85"/>
      <c r="HZE2" s="85"/>
      <c r="HZF2" s="85"/>
      <c r="HZG2" s="85"/>
      <c r="HZH2" s="85"/>
      <c r="HZI2" s="85"/>
      <c r="HZJ2" s="85"/>
      <c r="HZK2" s="85"/>
      <c r="HZL2" s="85"/>
      <c r="HZM2" s="85"/>
      <c r="HZN2" s="85"/>
      <c r="HZO2" s="85"/>
      <c r="HZP2" s="85"/>
      <c r="HZQ2" s="85"/>
      <c r="HZR2" s="85"/>
      <c r="HZS2" s="85"/>
      <c r="HZT2" s="85"/>
      <c r="HZU2" s="85"/>
      <c r="HZV2" s="85"/>
      <c r="HZW2" s="85"/>
      <c r="HZX2" s="85"/>
      <c r="HZY2" s="85"/>
      <c r="HZZ2" s="85"/>
      <c r="IAA2" s="85"/>
      <c r="IAB2" s="85"/>
      <c r="IAC2" s="85"/>
      <c r="IAD2" s="85"/>
      <c r="IAE2" s="85"/>
      <c r="IAF2" s="85"/>
      <c r="IAG2" s="85"/>
      <c r="IAH2" s="85"/>
      <c r="IAI2" s="85"/>
      <c r="IAJ2" s="85"/>
      <c r="IAK2" s="85"/>
      <c r="IAL2" s="85"/>
      <c r="IAM2" s="85"/>
      <c r="IAN2" s="85"/>
      <c r="IAO2" s="85"/>
      <c r="IAP2" s="85"/>
      <c r="IAQ2" s="85"/>
      <c r="IAR2" s="85"/>
      <c r="IAS2" s="85"/>
      <c r="IAT2" s="85"/>
      <c r="IAU2" s="85"/>
      <c r="IAV2" s="85"/>
      <c r="IAW2" s="85"/>
      <c r="IAX2" s="85"/>
      <c r="IAY2" s="85"/>
      <c r="IAZ2" s="85"/>
      <c r="IBA2" s="85"/>
      <c r="IBB2" s="85"/>
      <c r="IBC2" s="85"/>
      <c r="IBD2" s="85"/>
      <c r="IBE2" s="85"/>
      <c r="IBF2" s="85"/>
      <c r="IBG2" s="85"/>
      <c r="IBH2" s="85"/>
      <c r="IBI2" s="85"/>
      <c r="IBJ2" s="85"/>
      <c r="IBK2" s="85"/>
      <c r="IBL2" s="85"/>
      <c r="IBM2" s="85"/>
      <c r="IBN2" s="85"/>
      <c r="IBO2" s="85"/>
      <c r="IBP2" s="85"/>
      <c r="IBQ2" s="85"/>
      <c r="IBR2" s="85"/>
      <c r="IBS2" s="85"/>
      <c r="IBT2" s="85"/>
      <c r="IBU2" s="85"/>
      <c r="IBV2" s="85"/>
      <c r="IBW2" s="85"/>
      <c r="IBX2" s="85"/>
      <c r="IBY2" s="85"/>
      <c r="IBZ2" s="85"/>
      <c r="ICA2" s="85"/>
      <c r="ICB2" s="85"/>
      <c r="ICC2" s="85"/>
      <c r="ICD2" s="85"/>
      <c r="ICE2" s="85"/>
      <c r="ICF2" s="85"/>
      <c r="ICG2" s="85"/>
      <c r="ICH2" s="85"/>
      <c r="ICI2" s="85"/>
      <c r="ICJ2" s="85"/>
      <c r="ICK2" s="85"/>
      <c r="ICL2" s="85"/>
      <c r="ICM2" s="85"/>
      <c r="ICN2" s="85"/>
      <c r="ICO2" s="85"/>
      <c r="ICP2" s="85"/>
      <c r="ICQ2" s="85"/>
      <c r="ICR2" s="85"/>
      <c r="ICS2" s="85"/>
      <c r="ICT2" s="85"/>
      <c r="ICU2" s="85"/>
      <c r="ICV2" s="85"/>
      <c r="ICW2" s="85"/>
      <c r="ICX2" s="85"/>
      <c r="ICY2" s="85"/>
      <c r="ICZ2" s="85"/>
      <c r="IDA2" s="85"/>
      <c r="IDB2" s="85"/>
      <c r="IDC2" s="85"/>
      <c r="IDD2" s="85"/>
      <c r="IDE2" s="85"/>
      <c r="IDF2" s="85"/>
      <c r="IDG2" s="85"/>
      <c r="IDH2" s="85"/>
      <c r="IDI2" s="85"/>
      <c r="IDJ2" s="85"/>
      <c r="IDK2" s="85"/>
      <c r="IDL2" s="85"/>
      <c r="IDM2" s="85"/>
      <c r="IDN2" s="85"/>
      <c r="IDO2" s="85"/>
      <c r="IDP2" s="85"/>
      <c r="IDQ2" s="85"/>
      <c r="IDR2" s="85"/>
      <c r="IDS2" s="85"/>
      <c r="IDT2" s="85"/>
      <c r="IDU2" s="85"/>
      <c r="IDV2" s="85"/>
      <c r="IDW2" s="85"/>
      <c r="IDX2" s="85"/>
      <c r="IDY2" s="85"/>
      <c r="IDZ2" s="85"/>
      <c r="IEA2" s="85"/>
      <c r="IEB2" s="85"/>
      <c r="IEC2" s="85"/>
      <c r="IED2" s="85"/>
      <c r="IEE2" s="85"/>
      <c r="IEF2" s="85"/>
      <c r="IEG2" s="85"/>
      <c r="IEH2" s="85"/>
      <c r="IEI2" s="85"/>
      <c r="IEJ2" s="85"/>
      <c r="IEK2" s="85"/>
      <c r="IEL2" s="85"/>
      <c r="IEM2" s="85"/>
      <c r="IEN2" s="85"/>
      <c r="IEO2" s="85"/>
      <c r="IEP2" s="85"/>
      <c r="IEQ2" s="85"/>
      <c r="IER2" s="85"/>
      <c r="IES2" s="85"/>
      <c r="IET2" s="85"/>
      <c r="IEU2" s="85"/>
      <c r="IEV2" s="85"/>
      <c r="IEW2" s="85"/>
      <c r="IEX2" s="85"/>
      <c r="IEY2" s="85"/>
      <c r="IEZ2" s="85"/>
      <c r="IFA2" s="85"/>
      <c r="IFB2" s="85"/>
      <c r="IFC2" s="85"/>
      <c r="IFD2" s="85"/>
      <c r="IFE2" s="85"/>
      <c r="IFF2" s="85"/>
      <c r="IFG2" s="85"/>
      <c r="IFH2" s="85"/>
      <c r="IFI2" s="85"/>
      <c r="IFJ2" s="85"/>
      <c r="IFK2" s="85"/>
      <c r="IFL2" s="85"/>
      <c r="IFM2" s="85"/>
      <c r="IFN2" s="85"/>
      <c r="IFO2" s="85"/>
      <c r="IFP2" s="85"/>
      <c r="IFQ2" s="85"/>
      <c r="IFR2" s="85"/>
      <c r="IFS2" s="85"/>
      <c r="IFT2" s="85"/>
      <c r="IFU2" s="85"/>
      <c r="IFV2" s="85"/>
      <c r="IFW2" s="85"/>
      <c r="IFX2" s="85"/>
      <c r="IFY2" s="85"/>
      <c r="IFZ2" s="85"/>
      <c r="IGA2" s="85"/>
      <c r="IGB2" s="85"/>
      <c r="IGC2" s="85"/>
      <c r="IGD2" s="85"/>
      <c r="IGE2" s="85"/>
      <c r="IGF2" s="85"/>
      <c r="IGG2" s="85"/>
      <c r="IGH2" s="85"/>
      <c r="IGI2" s="85"/>
      <c r="IGJ2" s="85"/>
      <c r="IGK2" s="85"/>
      <c r="IGL2" s="85"/>
      <c r="IGM2" s="85"/>
      <c r="IGN2" s="85"/>
      <c r="IGO2" s="85"/>
      <c r="IGP2" s="85"/>
      <c r="IGQ2" s="85"/>
      <c r="IGR2" s="85"/>
      <c r="IGS2" s="85"/>
      <c r="IGT2" s="85"/>
      <c r="IGU2" s="85"/>
      <c r="IGV2" s="85"/>
      <c r="IGW2" s="85"/>
      <c r="IGX2" s="85"/>
      <c r="IGY2" s="85"/>
      <c r="IGZ2" s="85"/>
      <c r="IHA2" s="85"/>
      <c r="IHB2" s="85"/>
      <c r="IHC2" s="85"/>
      <c r="IHD2" s="85"/>
      <c r="IHE2" s="85"/>
      <c r="IHF2" s="85"/>
      <c r="IHG2" s="85"/>
      <c r="IHH2" s="85"/>
      <c r="IHI2" s="85"/>
      <c r="IHJ2" s="85"/>
      <c r="IHK2" s="85"/>
      <c r="IHL2" s="85"/>
      <c r="IHM2" s="85"/>
      <c r="IHN2" s="85"/>
      <c r="IHO2" s="85"/>
      <c r="IHP2" s="85"/>
      <c r="IHQ2" s="85"/>
      <c r="IHR2" s="85"/>
      <c r="IHS2" s="85"/>
      <c r="IHT2" s="85"/>
      <c r="IHU2" s="85"/>
      <c r="IHV2" s="85"/>
      <c r="IHW2" s="85"/>
      <c r="IHX2" s="85"/>
      <c r="IHY2" s="85"/>
      <c r="IHZ2" s="85"/>
      <c r="IIA2" s="85"/>
      <c r="IIB2" s="85"/>
      <c r="IIC2" s="85"/>
      <c r="IID2" s="85"/>
      <c r="IIE2" s="85"/>
      <c r="IIF2" s="85"/>
      <c r="IIG2" s="85"/>
      <c r="IIH2" s="85"/>
      <c r="III2" s="85"/>
      <c r="IIJ2" s="85"/>
      <c r="IIK2" s="85"/>
      <c r="IIL2" s="85"/>
      <c r="IIM2" s="85"/>
      <c r="IIN2" s="85"/>
      <c r="IIO2" s="85"/>
      <c r="IIP2" s="85"/>
      <c r="IIQ2" s="85"/>
      <c r="IIR2" s="85"/>
      <c r="IIS2" s="85"/>
      <c r="IIT2" s="85"/>
      <c r="IIU2" s="85"/>
      <c r="IIV2" s="85"/>
      <c r="IIW2" s="85"/>
      <c r="IIX2" s="85"/>
      <c r="IIY2" s="85"/>
      <c r="IIZ2" s="85"/>
      <c r="IJA2" s="85"/>
      <c r="IJB2" s="85"/>
      <c r="IJC2" s="85"/>
      <c r="IJD2" s="85"/>
      <c r="IJE2" s="85"/>
      <c r="IJF2" s="85"/>
      <c r="IJG2" s="85"/>
      <c r="IJH2" s="85"/>
      <c r="IJI2" s="85"/>
      <c r="IJJ2" s="85"/>
      <c r="IJK2" s="85"/>
      <c r="IJL2" s="85"/>
      <c r="IJM2" s="85"/>
      <c r="IJN2" s="85"/>
      <c r="IJO2" s="85"/>
      <c r="IJP2" s="85"/>
      <c r="IJQ2" s="85"/>
      <c r="IJR2" s="85"/>
      <c r="IJS2" s="85"/>
      <c r="IJT2" s="85"/>
      <c r="IJU2" s="85"/>
      <c r="IJV2" s="85"/>
      <c r="IJW2" s="85"/>
      <c r="IJX2" s="85"/>
      <c r="IJY2" s="85"/>
      <c r="IJZ2" s="85"/>
      <c r="IKA2" s="85"/>
      <c r="IKB2" s="85"/>
      <c r="IKC2" s="85"/>
      <c r="IKD2" s="85"/>
      <c r="IKE2" s="85"/>
      <c r="IKF2" s="85"/>
      <c r="IKG2" s="85"/>
      <c r="IKH2" s="85"/>
      <c r="IKI2" s="85"/>
      <c r="IKJ2" s="85"/>
      <c r="IKK2" s="85"/>
      <c r="IKL2" s="85"/>
      <c r="IKM2" s="85"/>
      <c r="IKN2" s="85"/>
      <c r="IKO2" s="85"/>
      <c r="IKP2" s="85"/>
      <c r="IKQ2" s="85"/>
      <c r="IKR2" s="85"/>
      <c r="IKS2" s="85"/>
      <c r="IKT2" s="85"/>
      <c r="IKU2" s="85"/>
      <c r="IKV2" s="85"/>
      <c r="IKW2" s="85"/>
      <c r="IKX2" s="85"/>
      <c r="IKY2" s="85"/>
      <c r="IKZ2" s="85"/>
      <c r="ILA2" s="85"/>
      <c r="ILB2" s="85"/>
      <c r="ILC2" s="85"/>
      <c r="ILD2" s="85"/>
      <c r="ILE2" s="85"/>
      <c r="ILF2" s="85"/>
      <c r="ILG2" s="85"/>
      <c r="ILH2" s="85"/>
      <c r="ILI2" s="85"/>
      <c r="ILJ2" s="85"/>
      <c r="ILK2" s="85"/>
      <c r="ILL2" s="85"/>
      <c r="ILM2" s="85"/>
      <c r="ILN2" s="85"/>
      <c r="ILO2" s="85"/>
      <c r="ILP2" s="85"/>
      <c r="ILQ2" s="85"/>
      <c r="ILR2" s="85"/>
      <c r="ILS2" s="85"/>
      <c r="ILT2" s="85"/>
      <c r="ILU2" s="85"/>
      <c r="ILV2" s="85"/>
      <c r="ILW2" s="85"/>
      <c r="ILX2" s="85"/>
      <c r="ILY2" s="85"/>
      <c r="ILZ2" s="85"/>
      <c r="IMA2" s="85"/>
      <c r="IMB2" s="85"/>
      <c r="IMC2" s="85"/>
      <c r="IMD2" s="85"/>
      <c r="IME2" s="85"/>
      <c r="IMF2" s="85"/>
      <c r="IMG2" s="85"/>
      <c r="IMH2" s="85"/>
      <c r="IMI2" s="85"/>
      <c r="IMJ2" s="85"/>
      <c r="IMK2" s="85"/>
      <c r="IML2" s="85"/>
      <c r="IMM2" s="85"/>
      <c r="IMN2" s="85"/>
      <c r="IMO2" s="85"/>
      <c r="IMP2" s="85"/>
      <c r="IMQ2" s="85"/>
      <c r="IMR2" s="85"/>
      <c r="IMS2" s="85"/>
      <c r="IMT2" s="85"/>
      <c r="IMU2" s="85"/>
      <c r="IMV2" s="85"/>
      <c r="IMW2" s="85"/>
      <c r="IMX2" s="85"/>
      <c r="IMY2" s="85"/>
      <c r="IMZ2" s="85"/>
      <c r="INA2" s="85"/>
      <c r="INB2" s="85"/>
      <c r="INC2" s="85"/>
      <c r="IND2" s="85"/>
      <c r="INE2" s="85"/>
      <c r="INF2" s="85"/>
      <c r="ING2" s="85"/>
      <c r="INH2" s="85"/>
      <c r="INI2" s="85"/>
      <c r="INJ2" s="85"/>
      <c r="INK2" s="85"/>
      <c r="INL2" s="85"/>
      <c r="INM2" s="85"/>
      <c r="INN2" s="85"/>
      <c r="INO2" s="85"/>
      <c r="INP2" s="85"/>
      <c r="INQ2" s="85"/>
      <c r="INR2" s="85"/>
      <c r="INS2" s="85"/>
      <c r="INT2" s="85"/>
      <c r="INU2" s="85"/>
      <c r="INV2" s="85"/>
      <c r="INW2" s="85"/>
      <c r="INX2" s="85"/>
      <c r="INY2" s="85"/>
      <c r="INZ2" s="85"/>
      <c r="IOA2" s="85"/>
      <c r="IOB2" s="85"/>
      <c r="IOC2" s="85"/>
      <c r="IOD2" s="85"/>
      <c r="IOE2" s="85"/>
      <c r="IOF2" s="85"/>
      <c r="IOG2" s="85"/>
      <c r="IOH2" s="85"/>
      <c r="IOI2" s="85"/>
      <c r="IOJ2" s="85"/>
      <c r="IOK2" s="85"/>
      <c r="IOL2" s="85"/>
      <c r="IOM2" s="85"/>
      <c r="ION2" s="85"/>
      <c r="IOO2" s="85"/>
      <c r="IOP2" s="85"/>
      <c r="IOQ2" s="85"/>
      <c r="IOR2" s="85"/>
      <c r="IOS2" s="85"/>
      <c r="IOT2" s="85"/>
      <c r="IOU2" s="85"/>
      <c r="IOV2" s="85"/>
      <c r="IOW2" s="85"/>
      <c r="IOX2" s="85"/>
      <c r="IOY2" s="85"/>
      <c r="IOZ2" s="85"/>
      <c r="IPA2" s="85"/>
      <c r="IPB2" s="85"/>
      <c r="IPC2" s="85"/>
      <c r="IPD2" s="85"/>
      <c r="IPE2" s="85"/>
      <c r="IPF2" s="85"/>
      <c r="IPG2" s="85"/>
      <c r="IPH2" s="85"/>
      <c r="IPI2" s="85"/>
      <c r="IPJ2" s="85"/>
      <c r="IPK2" s="85"/>
      <c r="IPL2" s="85"/>
      <c r="IPM2" s="85"/>
      <c r="IPN2" s="85"/>
      <c r="IPO2" s="85"/>
      <c r="IPP2" s="85"/>
      <c r="IPQ2" s="85"/>
      <c r="IPR2" s="85"/>
      <c r="IPS2" s="85"/>
      <c r="IPT2" s="85"/>
      <c r="IPU2" s="85"/>
      <c r="IPV2" s="85"/>
      <c r="IPW2" s="85"/>
      <c r="IPX2" s="85"/>
      <c r="IPY2" s="85"/>
      <c r="IPZ2" s="85"/>
      <c r="IQA2" s="85"/>
      <c r="IQB2" s="85"/>
      <c r="IQC2" s="85"/>
      <c r="IQD2" s="85"/>
      <c r="IQE2" s="85"/>
      <c r="IQF2" s="85"/>
      <c r="IQG2" s="85"/>
      <c r="IQH2" s="85"/>
      <c r="IQI2" s="85"/>
      <c r="IQJ2" s="85"/>
      <c r="IQK2" s="85"/>
      <c r="IQL2" s="85"/>
      <c r="IQM2" s="85"/>
      <c r="IQN2" s="85"/>
      <c r="IQO2" s="85"/>
      <c r="IQP2" s="85"/>
      <c r="IQQ2" s="85"/>
      <c r="IQR2" s="85"/>
      <c r="IQS2" s="85"/>
      <c r="IQT2" s="85"/>
      <c r="IQU2" s="85"/>
      <c r="IQV2" s="85"/>
      <c r="IQW2" s="85"/>
      <c r="IQX2" s="85"/>
      <c r="IQY2" s="85"/>
      <c r="IQZ2" s="85"/>
      <c r="IRA2" s="85"/>
      <c r="IRB2" s="85"/>
      <c r="IRC2" s="85"/>
      <c r="IRD2" s="85"/>
      <c r="IRE2" s="85"/>
      <c r="IRF2" s="85"/>
      <c r="IRG2" s="85"/>
      <c r="IRH2" s="85"/>
      <c r="IRI2" s="85"/>
      <c r="IRJ2" s="85"/>
      <c r="IRK2" s="85"/>
      <c r="IRL2" s="85"/>
      <c r="IRM2" s="85"/>
      <c r="IRN2" s="85"/>
      <c r="IRO2" s="85"/>
      <c r="IRP2" s="85"/>
      <c r="IRQ2" s="85"/>
      <c r="IRR2" s="85"/>
      <c r="IRS2" s="85"/>
      <c r="IRT2" s="85"/>
      <c r="IRU2" s="85"/>
      <c r="IRV2" s="85"/>
      <c r="IRW2" s="85"/>
      <c r="IRX2" s="85"/>
      <c r="IRY2" s="85"/>
      <c r="IRZ2" s="85"/>
      <c r="ISA2" s="85"/>
      <c r="ISB2" s="85"/>
      <c r="ISC2" s="85"/>
      <c r="ISD2" s="85"/>
      <c r="ISE2" s="85"/>
      <c r="ISF2" s="85"/>
      <c r="ISG2" s="85"/>
      <c r="ISH2" s="85"/>
      <c r="ISI2" s="85"/>
      <c r="ISJ2" s="85"/>
      <c r="ISK2" s="85"/>
      <c r="ISL2" s="85"/>
      <c r="ISM2" s="85"/>
      <c r="ISN2" s="85"/>
      <c r="ISO2" s="85"/>
      <c r="ISP2" s="85"/>
      <c r="ISQ2" s="85"/>
      <c r="ISR2" s="85"/>
      <c r="ISS2" s="85"/>
      <c r="IST2" s="85"/>
      <c r="ISU2" s="85"/>
      <c r="ISV2" s="85"/>
      <c r="ISW2" s="85"/>
      <c r="ISX2" s="85"/>
      <c r="ISY2" s="85"/>
      <c r="ISZ2" s="85"/>
      <c r="ITA2" s="85"/>
      <c r="ITB2" s="85"/>
      <c r="ITC2" s="85"/>
      <c r="ITD2" s="85"/>
      <c r="ITE2" s="85"/>
      <c r="ITF2" s="85"/>
      <c r="ITG2" s="85"/>
      <c r="ITH2" s="85"/>
      <c r="ITI2" s="85"/>
      <c r="ITJ2" s="85"/>
      <c r="ITK2" s="85"/>
      <c r="ITL2" s="85"/>
      <c r="ITM2" s="85"/>
      <c r="ITN2" s="85"/>
      <c r="ITO2" s="85"/>
      <c r="ITP2" s="85"/>
      <c r="ITQ2" s="85"/>
      <c r="ITR2" s="85"/>
      <c r="ITS2" s="85"/>
      <c r="ITT2" s="85"/>
      <c r="ITU2" s="85"/>
      <c r="ITV2" s="85"/>
      <c r="ITW2" s="85"/>
      <c r="ITX2" s="85"/>
      <c r="ITY2" s="85"/>
      <c r="ITZ2" s="85"/>
      <c r="IUA2" s="85"/>
      <c r="IUB2" s="85"/>
      <c r="IUC2" s="85"/>
      <c r="IUD2" s="85"/>
      <c r="IUE2" s="85"/>
      <c r="IUF2" s="85"/>
      <c r="IUG2" s="85"/>
      <c r="IUH2" s="85"/>
      <c r="IUI2" s="85"/>
      <c r="IUJ2" s="85"/>
      <c r="IUK2" s="85"/>
      <c r="IUL2" s="85"/>
      <c r="IUM2" s="85"/>
      <c r="IUN2" s="85"/>
      <c r="IUO2" s="85"/>
      <c r="IUP2" s="85"/>
      <c r="IUQ2" s="85"/>
      <c r="IUR2" s="85"/>
      <c r="IUS2" s="85"/>
      <c r="IUT2" s="85"/>
      <c r="IUU2" s="85"/>
      <c r="IUV2" s="85"/>
      <c r="IUW2" s="85"/>
      <c r="IUX2" s="85"/>
      <c r="IUY2" s="85"/>
      <c r="IUZ2" s="85"/>
      <c r="IVA2" s="85"/>
      <c r="IVB2" s="85"/>
      <c r="IVC2" s="85"/>
      <c r="IVD2" s="85"/>
      <c r="IVE2" s="85"/>
      <c r="IVF2" s="85"/>
      <c r="IVG2" s="85"/>
      <c r="IVH2" s="85"/>
      <c r="IVI2" s="85"/>
      <c r="IVJ2" s="85"/>
      <c r="IVK2" s="85"/>
      <c r="IVL2" s="85"/>
      <c r="IVM2" s="85"/>
      <c r="IVN2" s="85"/>
      <c r="IVO2" s="85"/>
      <c r="IVP2" s="85"/>
      <c r="IVQ2" s="85"/>
      <c r="IVR2" s="85"/>
      <c r="IVS2" s="85"/>
      <c r="IVT2" s="85"/>
      <c r="IVU2" s="85"/>
      <c r="IVV2" s="85"/>
      <c r="IVW2" s="85"/>
      <c r="IVX2" s="85"/>
      <c r="IVY2" s="85"/>
      <c r="IVZ2" s="85"/>
      <c r="IWA2" s="85"/>
      <c r="IWB2" s="85"/>
      <c r="IWC2" s="85"/>
      <c r="IWD2" s="85"/>
      <c r="IWE2" s="85"/>
      <c r="IWF2" s="85"/>
      <c r="IWG2" s="85"/>
      <c r="IWH2" s="85"/>
      <c r="IWI2" s="85"/>
      <c r="IWJ2" s="85"/>
      <c r="IWK2" s="85"/>
      <c r="IWL2" s="85"/>
      <c r="IWM2" s="85"/>
      <c r="IWN2" s="85"/>
      <c r="IWO2" s="85"/>
      <c r="IWP2" s="85"/>
      <c r="IWQ2" s="85"/>
      <c r="IWR2" s="85"/>
      <c r="IWS2" s="85"/>
      <c r="IWT2" s="85"/>
      <c r="IWU2" s="85"/>
      <c r="IWV2" s="85"/>
      <c r="IWW2" s="85"/>
      <c r="IWX2" s="85"/>
      <c r="IWY2" s="85"/>
      <c r="IWZ2" s="85"/>
      <c r="IXA2" s="85"/>
      <c r="IXB2" s="85"/>
      <c r="IXC2" s="85"/>
      <c r="IXD2" s="85"/>
      <c r="IXE2" s="85"/>
      <c r="IXF2" s="85"/>
      <c r="IXG2" s="85"/>
      <c r="IXH2" s="85"/>
      <c r="IXI2" s="85"/>
      <c r="IXJ2" s="85"/>
      <c r="IXK2" s="85"/>
      <c r="IXL2" s="85"/>
      <c r="IXM2" s="85"/>
      <c r="IXN2" s="85"/>
      <c r="IXO2" s="85"/>
      <c r="IXP2" s="85"/>
      <c r="IXQ2" s="85"/>
      <c r="IXR2" s="85"/>
      <c r="IXS2" s="85"/>
      <c r="IXT2" s="85"/>
      <c r="IXU2" s="85"/>
      <c r="IXV2" s="85"/>
      <c r="IXW2" s="85"/>
      <c r="IXX2" s="85"/>
      <c r="IXY2" s="85"/>
      <c r="IXZ2" s="85"/>
      <c r="IYA2" s="85"/>
      <c r="IYB2" s="85"/>
      <c r="IYC2" s="85"/>
      <c r="IYD2" s="85"/>
      <c r="IYE2" s="85"/>
      <c r="IYF2" s="85"/>
      <c r="IYG2" s="85"/>
      <c r="IYH2" s="85"/>
      <c r="IYI2" s="85"/>
      <c r="IYJ2" s="85"/>
      <c r="IYK2" s="85"/>
      <c r="IYL2" s="85"/>
      <c r="IYM2" s="85"/>
      <c r="IYN2" s="85"/>
      <c r="IYO2" s="85"/>
      <c r="IYP2" s="85"/>
      <c r="IYQ2" s="85"/>
      <c r="IYR2" s="85"/>
      <c r="IYS2" s="85"/>
      <c r="IYT2" s="85"/>
      <c r="IYU2" s="85"/>
      <c r="IYV2" s="85"/>
      <c r="IYW2" s="85"/>
      <c r="IYX2" s="85"/>
      <c r="IYY2" s="85"/>
      <c r="IYZ2" s="85"/>
      <c r="IZA2" s="85"/>
      <c r="IZB2" s="85"/>
      <c r="IZC2" s="85"/>
      <c r="IZD2" s="85"/>
      <c r="IZE2" s="85"/>
      <c r="IZF2" s="85"/>
      <c r="IZG2" s="85"/>
      <c r="IZH2" s="85"/>
      <c r="IZI2" s="85"/>
      <c r="IZJ2" s="85"/>
      <c r="IZK2" s="85"/>
      <c r="IZL2" s="85"/>
      <c r="IZM2" s="85"/>
      <c r="IZN2" s="85"/>
      <c r="IZO2" s="85"/>
      <c r="IZP2" s="85"/>
      <c r="IZQ2" s="85"/>
      <c r="IZR2" s="85"/>
      <c r="IZS2" s="85"/>
      <c r="IZT2" s="85"/>
      <c r="IZU2" s="85"/>
      <c r="IZV2" s="85"/>
      <c r="IZW2" s="85"/>
      <c r="IZX2" s="85"/>
      <c r="IZY2" s="85"/>
      <c r="IZZ2" s="85"/>
      <c r="JAA2" s="85"/>
      <c r="JAB2" s="85"/>
      <c r="JAC2" s="85"/>
      <c r="JAD2" s="85"/>
      <c r="JAE2" s="85"/>
      <c r="JAF2" s="85"/>
      <c r="JAG2" s="85"/>
      <c r="JAH2" s="85"/>
      <c r="JAI2" s="85"/>
      <c r="JAJ2" s="85"/>
      <c r="JAK2" s="85"/>
      <c r="JAL2" s="85"/>
      <c r="JAM2" s="85"/>
      <c r="JAN2" s="85"/>
      <c r="JAO2" s="85"/>
      <c r="JAP2" s="85"/>
      <c r="JAQ2" s="85"/>
      <c r="JAR2" s="85"/>
      <c r="JAS2" s="85"/>
      <c r="JAT2" s="85"/>
      <c r="JAU2" s="85"/>
      <c r="JAV2" s="85"/>
      <c r="JAW2" s="85"/>
      <c r="JAX2" s="85"/>
      <c r="JAY2" s="85"/>
      <c r="JAZ2" s="85"/>
      <c r="JBA2" s="85"/>
      <c r="JBB2" s="85"/>
      <c r="JBC2" s="85"/>
      <c r="JBD2" s="85"/>
      <c r="JBE2" s="85"/>
      <c r="JBF2" s="85"/>
      <c r="JBG2" s="85"/>
      <c r="JBH2" s="85"/>
      <c r="JBI2" s="85"/>
      <c r="JBJ2" s="85"/>
      <c r="JBK2" s="85"/>
      <c r="JBL2" s="85"/>
      <c r="JBM2" s="85"/>
      <c r="JBN2" s="85"/>
      <c r="JBO2" s="85"/>
      <c r="JBP2" s="85"/>
      <c r="JBQ2" s="85"/>
      <c r="JBR2" s="85"/>
      <c r="JBS2" s="85"/>
      <c r="JBT2" s="85"/>
      <c r="JBU2" s="85"/>
      <c r="JBV2" s="85"/>
      <c r="JBW2" s="85"/>
      <c r="JBX2" s="85"/>
      <c r="JBY2" s="85"/>
      <c r="JBZ2" s="85"/>
      <c r="JCA2" s="85"/>
      <c r="JCB2" s="85"/>
      <c r="JCC2" s="85"/>
      <c r="JCD2" s="85"/>
      <c r="JCE2" s="85"/>
      <c r="JCF2" s="85"/>
      <c r="JCG2" s="85"/>
      <c r="JCH2" s="85"/>
      <c r="JCI2" s="85"/>
      <c r="JCJ2" s="85"/>
      <c r="JCK2" s="85"/>
      <c r="JCL2" s="85"/>
      <c r="JCM2" s="85"/>
      <c r="JCN2" s="85"/>
      <c r="JCO2" s="85"/>
      <c r="JCP2" s="85"/>
      <c r="JCQ2" s="85"/>
      <c r="JCR2" s="85"/>
      <c r="JCS2" s="85"/>
      <c r="JCT2" s="85"/>
      <c r="JCU2" s="85"/>
      <c r="JCV2" s="85"/>
      <c r="JCW2" s="85"/>
      <c r="JCX2" s="85"/>
      <c r="JCY2" s="85"/>
      <c r="JCZ2" s="85"/>
      <c r="JDA2" s="85"/>
      <c r="JDB2" s="85"/>
      <c r="JDC2" s="85"/>
      <c r="JDD2" s="85"/>
      <c r="JDE2" s="85"/>
      <c r="JDF2" s="85"/>
      <c r="JDG2" s="85"/>
      <c r="JDH2" s="85"/>
      <c r="JDI2" s="85"/>
      <c r="JDJ2" s="85"/>
      <c r="JDK2" s="85"/>
      <c r="JDL2" s="85"/>
      <c r="JDM2" s="85"/>
      <c r="JDN2" s="85"/>
      <c r="JDO2" s="85"/>
      <c r="JDP2" s="85"/>
      <c r="JDQ2" s="85"/>
      <c r="JDR2" s="85"/>
      <c r="JDS2" s="85"/>
      <c r="JDT2" s="85"/>
      <c r="JDU2" s="85"/>
      <c r="JDV2" s="85"/>
      <c r="JDW2" s="85"/>
      <c r="JDX2" s="85"/>
      <c r="JDY2" s="85"/>
      <c r="JDZ2" s="85"/>
      <c r="JEA2" s="85"/>
      <c r="JEB2" s="85"/>
      <c r="JEC2" s="85"/>
      <c r="JED2" s="85"/>
      <c r="JEE2" s="85"/>
      <c r="JEF2" s="85"/>
      <c r="JEG2" s="85"/>
      <c r="JEH2" s="85"/>
      <c r="JEI2" s="85"/>
      <c r="JEJ2" s="85"/>
      <c r="JEK2" s="85"/>
      <c r="JEL2" s="85"/>
      <c r="JEM2" s="85"/>
      <c r="JEN2" s="85"/>
      <c r="JEO2" s="85"/>
      <c r="JEP2" s="85"/>
      <c r="JEQ2" s="85"/>
      <c r="JER2" s="85"/>
      <c r="JES2" s="85"/>
      <c r="JET2" s="85"/>
      <c r="JEU2" s="85"/>
      <c r="JEV2" s="85"/>
      <c r="JEW2" s="85"/>
      <c r="JEX2" s="85"/>
      <c r="JEY2" s="85"/>
      <c r="JEZ2" s="85"/>
      <c r="JFA2" s="85"/>
      <c r="JFB2" s="85"/>
      <c r="JFC2" s="85"/>
      <c r="JFD2" s="85"/>
      <c r="JFE2" s="85"/>
      <c r="JFF2" s="85"/>
      <c r="JFG2" s="85"/>
      <c r="JFH2" s="85"/>
      <c r="JFI2" s="85"/>
      <c r="JFJ2" s="85"/>
      <c r="JFK2" s="85"/>
      <c r="JFL2" s="85"/>
      <c r="JFM2" s="85"/>
      <c r="JFN2" s="85"/>
      <c r="JFO2" s="85"/>
      <c r="JFP2" s="85"/>
      <c r="JFQ2" s="85"/>
      <c r="JFR2" s="85"/>
      <c r="JFS2" s="85"/>
      <c r="JFT2" s="85"/>
      <c r="JFU2" s="85"/>
      <c r="JFV2" s="85"/>
      <c r="JFW2" s="85"/>
      <c r="JFX2" s="85"/>
      <c r="JFY2" s="85"/>
      <c r="JFZ2" s="85"/>
      <c r="JGA2" s="85"/>
      <c r="JGB2" s="85"/>
      <c r="JGC2" s="85"/>
      <c r="JGD2" s="85"/>
      <c r="JGE2" s="85"/>
      <c r="JGF2" s="85"/>
      <c r="JGG2" s="85"/>
      <c r="JGH2" s="85"/>
      <c r="JGI2" s="85"/>
      <c r="JGJ2" s="85"/>
      <c r="JGK2" s="85"/>
      <c r="JGL2" s="85"/>
      <c r="JGM2" s="85"/>
      <c r="JGN2" s="85"/>
      <c r="JGO2" s="85"/>
      <c r="JGP2" s="85"/>
      <c r="JGQ2" s="85"/>
      <c r="JGR2" s="85"/>
      <c r="JGS2" s="85"/>
      <c r="JGT2" s="85"/>
      <c r="JGU2" s="85"/>
      <c r="JGV2" s="85"/>
      <c r="JGW2" s="85"/>
      <c r="JGX2" s="85"/>
      <c r="JGY2" s="85"/>
      <c r="JGZ2" s="85"/>
      <c r="JHA2" s="85"/>
      <c r="JHB2" s="85"/>
      <c r="JHC2" s="85"/>
      <c r="JHD2" s="85"/>
      <c r="JHE2" s="85"/>
      <c r="JHF2" s="85"/>
      <c r="JHG2" s="85"/>
      <c r="JHH2" s="85"/>
      <c r="JHI2" s="85"/>
      <c r="JHJ2" s="85"/>
      <c r="JHK2" s="85"/>
      <c r="JHL2" s="85"/>
      <c r="JHM2" s="85"/>
      <c r="JHN2" s="85"/>
      <c r="JHO2" s="85"/>
      <c r="JHP2" s="85"/>
      <c r="JHQ2" s="85"/>
      <c r="JHR2" s="85"/>
      <c r="JHS2" s="85"/>
      <c r="JHT2" s="85"/>
      <c r="JHU2" s="85"/>
      <c r="JHV2" s="85"/>
      <c r="JHW2" s="85"/>
      <c r="JHX2" s="85"/>
      <c r="JHY2" s="85"/>
      <c r="JHZ2" s="85"/>
      <c r="JIA2" s="85"/>
      <c r="JIB2" s="85"/>
      <c r="JIC2" s="85"/>
      <c r="JID2" s="85"/>
      <c r="JIE2" s="85"/>
      <c r="JIF2" s="85"/>
      <c r="JIG2" s="85"/>
      <c r="JIH2" s="85"/>
      <c r="JII2" s="85"/>
      <c r="JIJ2" s="85"/>
      <c r="JIK2" s="85"/>
      <c r="JIL2" s="85"/>
      <c r="JIM2" s="85"/>
      <c r="JIN2" s="85"/>
      <c r="JIO2" s="85"/>
      <c r="JIP2" s="85"/>
      <c r="JIQ2" s="85"/>
      <c r="JIR2" s="85"/>
      <c r="JIS2" s="85"/>
      <c r="JIT2" s="85"/>
      <c r="JIU2" s="85"/>
      <c r="JIV2" s="85"/>
      <c r="JIW2" s="85"/>
      <c r="JIX2" s="85"/>
      <c r="JIY2" s="85"/>
      <c r="JIZ2" s="85"/>
      <c r="JJA2" s="85"/>
      <c r="JJB2" s="85"/>
      <c r="JJC2" s="85"/>
      <c r="JJD2" s="85"/>
      <c r="JJE2" s="85"/>
      <c r="JJF2" s="85"/>
      <c r="JJG2" s="85"/>
      <c r="JJH2" s="85"/>
      <c r="JJI2" s="85"/>
      <c r="JJJ2" s="85"/>
      <c r="JJK2" s="85"/>
      <c r="JJL2" s="85"/>
      <c r="JJM2" s="85"/>
      <c r="JJN2" s="85"/>
      <c r="JJO2" s="85"/>
      <c r="JJP2" s="85"/>
      <c r="JJQ2" s="85"/>
      <c r="JJR2" s="85"/>
      <c r="JJS2" s="85"/>
      <c r="JJT2" s="85"/>
      <c r="JJU2" s="85"/>
      <c r="JJV2" s="85"/>
      <c r="JJW2" s="85"/>
      <c r="JJX2" s="85"/>
      <c r="JJY2" s="85"/>
      <c r="JJZ2" s="85"/>
      <c r="JKA2" s="85"/>
      <c r="JKB2" s="85"/>
      <c r="JKC2" s="85"/>
      <c r="JKD2" s="85"/>
      <c r="JKE2" s="85"/>
      <c r="JKF2" s="85"/>
      <c r="JKG2" s="85"/>
      <c r="JKH2" s="85"/>
      <c r="JKI2" s="85"/>
      <c r="JKJ2" s="85"/>
      <c r="JKK2" s="85"/>
      <c r="JKL2" s="85"/>
      <c r="JKM2" s="85"/>
      <c r="JKN2" s="85"/>
      <c r="JKO2" s="85"/>
      <c r="JKP2" s="85"/>
      <c r="JKQ2" s="85"/>
      <c r="JKR2" s="85"/>
      <c r="JKS2" s="85"/>
      <c r="JKT2" s="85"/>
      <c r="JKU2" s="85"/>
      <c r="JKV2" s="85"/>
      <c r="JKW2" s="85"/>
      <c r="JKX2" s="85"/>
      <c r="JKY2" s="85"/>
      <c r="JKZ2" s="85"/>
      <c r="JLA2" s="85"/>
      <c r="JLB2" s="85"/>
      <c r="JLC2" s="85"/>
      <c r="JLD2" s="85"/>
      <c r="JLE2" s="85"/>
      <c r="JLF2" s="85"/>
      <c r="JLG2" s="85"/>
      <c r="JLH2" s="85"/>
      <c r="JLI2" s="85"/>
      <c r="JLJ2" s="85"/>
      <c r="JLK2" s="85"/>
      <c r="JLL2" s="85"/>
      <c r="JLM2" s="85"/>
      <c r="JLN2" s="85"/>
      <c r="JLO2" s="85"/>
      <c r="JLP2" s="85"/>
      <c r="JLQ2" s="85"/>
      <c r="JLR2" s="85"/>
      <c r="JLS2" s="85"/>
      <c r="JLT2" s="85"/>
      <c r="JLU2" s="85"/>
      <c r="JLV2" s="85"/>
      <c r="JLW2" s="85"/>
      <c r="JLX2" s="85"/>
      <c r="JLY2" s="85"/>
      <c r="JLZ2" s="85"/>
      <c r="JMA2" s="85"/>
      <c r="JMB2" s="85"/>
      <c r="JMC2" s="85"/>
      <c r="JMD2" s="85"/>
      <c r="JME2" s="85"/>
      <c r="JMF2" s="85"/>
      <c r="JMG2" s="85"/>
      <c r="JMH2" s="85"/>
      <c r="JMI2" s="85"/>
      <c r="JMJ2" s="85"/>
      <c r="JMK2" s="85"/>
      <c r="JML2" s="85"/>
      <c r="JMM2" s="85"/>
      <c r="JMN2" s="85"/>
      <c r="JMO2" s="85"/>
      <c r="JMP2" s="85"/>
      <c r="JMQ2" s="85"/>
      <c r="JMR2" s="85"/>
      <c r="JMS2" s="85"/>
      <c r="JMT2" s="85"/>
      <c r="JMU2" s="85"/>
      <c r="JMV2" s="85"/>
      <c r="JMW2" s="85"/>
      <c r="JMX2" s="85"/>
      <c r="JMY2" s="85"/>
      <c r="JMZ2" s="85"/>
      <c r="JNA2" s="85"/>
      <c r="JNB2" s="85"/>
      <c r="JNC2" s="85"/>
      <c r="JND2" s="85"/>
      <c r="JNE2" s="85"/>
      <c r="JNF2" s="85"/>
      <c r="JNG2" s="85"/>
      <c r="JNH2" s="85"/>
      <c r="JNI2" s="85"/>
      <c r="JNJ2" s="85"/>
      <c r="JNK2" s="85"/>
      <c r="JNL2" s="85"/>
      <c r="JNM2" s="85"/>
      <c r="JNN2" s="85"/>
      <c r="JNO2" s="85"/>
      <c r="JNP2" s="85"/>
      <c r="JNQ2" s="85"/>
      <c r="JNR2" s="85"/>
      <c r="JNS2" s="85"/>
      <c r="JNT2" s="85"/>
      <c r="JNU2" s="85"/>
      <c r="JNV2" s="85"/>
      <c r="JNW2" s="85"/>
      <c r="JNX2" s="85"/>
      <c r="JNY2" s="85"/>
      <c r="JNZ2" s="85"/>
      <c r="JOA2" s="85"/>
      <c r="JOB2" s="85"/>
      <c r="JOC2" s="85"/>
      <c r="JOD2" s="85"/>
      <c r="JOE2" s="85"/>
      <c r="JOF2" s="85"/>
      <c r="JOG2" s="85"/>
      <c r="JOH2" s="85"/>
      <c r="JOI2" s="85"/>
      <c r="JOJ2" s="85"/>
      <c r="JOK2" s="85"/>
      <c r="JOL2" s="85"/>
      <c r="JOM2" s="85"/>
      <c r="JON2" s="85"/>
      <c r="JOO2" s="85"/>
      <c r="JOP2" s="85"/>
      <c r="JOQ2" s="85"/>
      <c r="JOR2" s="85"/>
      <c r="JOS2" s="85"/>
      <c r="JOT2" s="85"/>
      <c r="JOU2" s="85"/>
      <c r="JOV2" s="85"/>
      <c r="JOW2" s="85"/>
      <c r="JOX2" s="85"/>
      <c r="JOY2" s="85"/>
      <c r="JOZ2" s="85"/>
      <c r="JPA2" s="85"/>
      <c r="JPB2" s="85"/>
      <c r="JPC2" s="85"/>
      <c r="JPD2" s="85"/>
      <c r="JPE2" s="85"/>
      <c r="JPF2" s="85"/>
      <c r="JPG2" s="85"/>
      <c r="JPH2" s="85"/>
      <c r="JPI2" s="85"/>
      <c r="JPJ2" s="85"/>
      <c r="JPK2" s="85"/>
      <c r="JPL2" s="85"/>
      <c r="JPM2" s="85"/>
      <c r="JPN2" s="85"/>
      <c r="JPO2" s="85"/>
      <c r="JPP2" s="85"/>
      <c r="JPQ2" s="85"/>
      <c r="JPR2" s="85"/>
      <c r="JPS2" s="85"/>
      <c r="JPT2" s="85"/>
      <c r="JPU2" s="85"/>
      <c r="JPV2" s="85"/>
      <c r="JPW2" s="85"/>
      <c r="JPX2" s="85"/>
      <c r="JPY2" s="85"/>
      <c r="JPZ2" s="85"/>
      <c r="JQA2" s="85"/>
      <c r="JQB2" s="85"/>
      <c r="JQC2" s="85"/>
      <c r="JQD2" s="85"/>
      <c r="JQE2" s="85"/>
      <c r="JQF2" s="85"/>
      <c r="JQG2" s="85"/>
      <c r="JQH2" s="85"/>
      <c r="JQI2" s="85"/>
      <c r="JQJ2" s="85"/>
      <c r="JQK2" s="85"/>
      <c r="JQL2" s="85"/>
      <c r="JQM2" s="85"/>
      <c r="JQN2" s="85"/>
      <c r="JQO2" s="85"/>
      <c r="JQP2" s="85"/>
      <c r="JQQ2" s="85"/>
      <c r="JQR2" s="85"/>
      <c r="JQS2" s="85"/>
      <c r="JQT2" s="85"/>
      <c r="JQU2" s="85"/>
      <c r="JQV2" s="85"/>
      <c r="JQW2" s="85"/>
      <c r="JQX2" s="85"/>
      <c r="JQY2" s="85"/>
      <c r="JQZ2" s="85"/>
      <c r="JRA2" s="85"/>
      <c r="JRB2" s="85"/>
      <c r="JRC2" s="85"/>
      <c r="JRD2" s="85"/>
      <c r="JRE2" s="85"/>
      <c r="JRF2" s="85"/>
      <c r="JRG2" s="85"/>
      <c r="JRH2" s="85"/>
      <c r="JRI2" s="85"/>
      <c r="JRJ2" s="85"/>
      <c r="JRK2" s="85"/>
      <c r="JRL2" s="85"/>
      <c r="JRM2" s="85"/>
      <c r="JRN2" s="85"/>
      <c r="JRO2" s="85"/>
      <c r="JRP2" s="85"/>
      <c r="JRQ2" s="85"/>
      <c r="JRR2" s="85"/>
      <c r="JRS2" s="85"/>
      <c r="JRT2" s="85"/>
      <c r="JRU2" s="85"/>
      <c r="JRV2" s="85"/>
      <c r="JRW2" s="85"/>
      <c r="JRX2" s="85"/>
      <c r="JRY2" s="85"/>
      <c r="JRZ2" s="85"/>
      <c r="JSA2" s="85"/>
      <c r="JSB2" s="85"/>
      <c r="JSC2" s="85"/>
      <c r="JSD2" s="85"/>
      <c r="JSE2" s="85"/>
      <c r="JSF2" s="85"/>
      <c r="JSG2" s="85"/>
      <c r="JSH2" s="85"/>
      <c r="JSI2" s="85"/>
      <c r="JSJ2" s="85"/>
      <c r="JSK2" s="85"/>
      <c r="JSL2" s="85"/>
      <c r="JSM2" s="85"/>
      <c r="JSN2" s="85"/>
      <c r="JSO2" s="85"/>
      <c r="JSP2" s="85"/>
      <c r="JSQ2" s="85"/>
      <c r="JSR2" s="85"/>
      <c r="JSS2" s="85"/>
      <c r="JST2" s="85"/>
      <c r="JSU2" s="85"/>
      <c r="JSV2" s="85"/>
      <c r="JSW2" s="85"/>
      <c r="JSX2" s="85"/>
      <c r="JSY2" s="85"/>
      <c r="JSZ2" s="85"/>
      <c r="JTA2" s="85"/>
      <c r="JTB2" s="85"/>
      <c r="JTC2" s="85"/>
      <c r="JTD2" s="85"/>
      <c r="JTE2" s="85"/>
      <c r="JTF2" s="85"/>
      <c r="JTG2" s="85"/>
      <c r="JTH2" s="85"/>
      <c r="JTI2" s="85"/>
      <c r="JTJ2" s="85"/>
      <c r="JTK2" s="85"/>
      <c r="JTL2" s="85"/>
      <c r="JTM2" s="85"/>
      <c r="JTN2" s="85"/>
      <c r="JTO2" s="85"/>
      <c r="JTP2" s="85"/>
      <c r="JTQ2" s="85"/>
      <c r="JTR2" s="85"/>
      <c r="JTS2" s="85"/>
      <c r="JTT2" s="85"/>
      <c r="JTU2" s="85"/>
      <c r="JTV2" s="85"/>
      <c r="JTW2" s="85"/>
      <c r="JTX2" s="85"/>
      <c r="JTY2" s="85"/>
      <c r="JTZ2" s="85"/>
      <c r="JUA2" s="85"/>
      <c r="JUB2" s="85"/>
      <c r="JUC2" s="85"/>
      <c r="JUD2" s="85"/>
      <c r="JUE2" s="85"/>
      <c r="JUF2" s="85"/>
      <c r="JUG2" s="85"/>
      <c r="JUH2" s="85"/>
      <c r="JUI2" s="85"/>
      <c r="JUJ2" s="85"/>
      <c r="JUK2" s="85"/>
      <c r="JUL2" s="85"/>
      <c r="JUM2" s="85"/>
      <c r="JUN2" s="85"/>
      <c r="JUO2" s="85"/>
      <c r="JUP2" s="85"/>
      <c r="JUQ2" s="85"/>
      <c r="JUR2" s="85"/>
      <c r="JUS2" s="85"/>
      <c r="JUT2" s="85"/>
      <c r="JUU2" s="85"/>
      <c r="JUV2" s="85"/>
      <c r="JUW2" s="85"/>
      <c r="JUX2" s="85"/>
      <c r="JUY2" s="85"/>
      <c r="JUZ2" s="85"/>
      <c r="JVA2" s="85"/>
      <c r="JVB2" s="85"/>
      <c r="JVC2" s="85"/>
      <c r="JVD2" s="85"/>
      <c r="JVE2" s="85"/>
      <c r="JVF2" s="85"/>
      <c r="JVG2" s="85"/>
      <c r="JVH2" s="85"/>
      <c r="JVI2" s="85"/>
      <c r="JVJ2" s="85"/>
      <c r="JVK2" s="85"/>
      <c r="JVL2" s="85"/>
      <c r="JVM2" s="85"/>
      <c r="JVN2" s="85"/>
      <c r="JVO2" s="85"/>
      <c r="JVP2" s="85"/>
      <c r="JVQ2" s="85"/>
      <c r="JVR2" s="85"/>
      <c r="JVS2" s="85"/>
      <c r="JVT2" s="85"/>
      <c r="JVU2" s="85"/>
      <c r="JVV2" s="85"/>
      <c r="JVW2" s="85"/>
      <c r="JVX2" s="85"/>
      <c r="JVY2" s="85"/>
      <c r="JVZ2" s="85"/>
      <c r="JWA2" s="85"/>
      <c r="JWB2" s="85"/>
      <c r="JWC2" s="85"/>
      <c r="JWD2" s="85"/>
      <c r="JWE2" s="85"/>
      <c r="JWF2" s="85"/>
      <c r="JWG2" s="85"/>
      <c r="JWH2" s="85"/>
      <c r="JWI2" s="85"/>
      <c r="JWJ2" s="85"/>
      <c r="JWK2" s="85"/>
      <c r="JWL2" s="85"/>
      <c r="JWM2" s="85"/>
      <c r="JWN2" s="85"/>
      <c r="JWO2" s="85"/>
      <c r="JWP2" s="85"/>
      <c r="JWQ2" s="85"/>
      <c r="JWR2" s="85"/>
      <c r="JWS2" s="85"/>
      <c r="JWT2" s="85"/>
      <c r="JWU2" s="85"/>
      <c r="JWV2" s="85"/>
      <c r="JWW2" s="85"/>
      <c r="JWX2" s="85"/>
      <c r="JWY2" s="85"/>
      <c r="JWZ2" s="85"/>
      <c r="JXA2" s="85"/>
      <c r="JXB2" s="85"/>
      <c r="JXC2" s="85"/>
      <c r="JXD2" s="85"/>
      <c r="JXE2" s="85"/>
      <c r="JXF2" s="85"/>
      <c r="JXG2" s="85"/>
      <c r="JXH2" s="85"/>
      <c r="JXI2" s="85"/>
      <c r="JXJ2" s="85"/>
      <c r="JXK2" s="85"/>
      <c r="JXL2" s="85"/>
      <c r="JXM2" s="85"/>
      <c r="JXN2" s="85"/>
      <c r="JXO2" s="85"/>
      <c r="JXP2" s="85"/>
      <c r="JXQ2" s="85"/>
      <c r="JXR2" s="85"/>
      <c r="JXS2" s="85"/>
      <c r="JXT2" s="85"/>
      <c r="JXU2" s="85"/>
      <c r="JXV2" s="85"/>
      <c r="JXW2" s="85"/>
      <c r="JXX2" s="85"/>
      <c r="JXY2" s="85"/>
      <c r="JXZ2" s="85"/>
      <c r="JYA2" s="85"/>
      <c r="JYB2" s="85"/>
      <c r="JYC2" s="85"/>
      <c r="JYD2" s="85"/>
      <c r="JYE2" s="85"/>
      <c r="JYF2" s="85"/>
      <c r="JYG2" s="85"/>
      <c r="JYH2" s="85"/>
      <c r="JYI2" s="85"/>
      <c r="JYJ2" s="85"/>
      <c r="JYK2" s="85"/>
      <c r="JYL2" s="85"/>
      <c r="JYM2" s="85"/>
      <c r="JYN2" s="85"/>
      <c r="JYO2" s="85"/>
      <c r="JYP2" s="85"/>
      <c r="JYQ2" s="85"/>
      <c r="JYR2" s="85"/>
      <c r="JYS2" s="85"/>
      <c r="JYT2" s="85"/>
      <c r="JYU2" s="85"/>
      <c r="JYV2" s="85"/>
      <c r="JYW2" s="85"/>
      <c r="JYX2" s="85"/>
      <c r="JYY2" s="85"/>
      <c r="JYZ2" s="85"/>
      <c r="JZA2" s="85"/>
      <c r="JZB2" s="85"/>
      <c r="JZC2" s="85"/>
      <c r="JZD2" s="85"/>
      <c r="JZE2" s="85"/>
      <c r="JZF2" s="85"/>
      <c r="JZG2" s="85"/>
      <c r="JZH2" s="85"/>
      <c r="JZI2" s="85"/>
      <c r="JZJ2" s="85"/>
      <c r="JZK2" s="85"/>
      <c r="JZL2" s="85"/>
      <c r="JZM2" s="85"/>
      <c r="JZN2" s="85"/>
      <c r="JZO2" s="85"/>
      <c r="JZP2" s="85"/>
      <c r="JZQ2" s="85"/>
      <c r="JZR2" s="85"/>
      <c r="JZS2" s="85"/>
      <c r="JZT2" s="85"/>
      <c r="JZU2" s="85"/>
      <c r="JZV2" s="85"/>
      <c r="JZW2" s="85"/>
      <c r="JZX2" s="85"/>
      <c r="JZY2" s="85"/>
      <c r="JZZ2" s="85"/>
      <c r="KAA2" s="85"/>
      <c r="KAB2" s="85"/>
      <c r="KAC2" s="85"/>
      <c r="KAD2" s="85"/>
      <c r="KAE2" s="85"/>
      <c r="KAF2" s="85"/>
      <c r="KAG2" s="85"/>
      <c r="KAH2" s="85"/>
      <c r="KAI2" s="85"/>
      <c r="KAJ2" s="85"/>
      <c r="KAK2" s="85"/>
      <c r="KAL2" s="85"/>
      <c r="KAM2" s="85"/>
      <c r="KAN2" s="85"/>
      <c r="KAO2" s="85"/>
      <c r="KAP2" s="85"/>
      <c r="KAQ2" s="85"/>
      <c r="KAR2" s="85"/>
      <c r="KAS2" s="85"/>
      <c r="KAT2" s="85"/>
      <c r="KAU2" s="85"/>
      <c r="KAV2" s="85"/>
      <c r="KAW2" s="85"/>
      <c r="KAX2" s="85"/>
      <c r="KAY2" s="85"/>
      <c r="KAZ2" s="85"/>
      <c r="KBA2" s="85"/>
      <c r="KBB2" s="85"/>
      <c r="KBC2" s="85"/>
      <c r="KBD2" s="85"/>
      <c r="KBE2" s="85"/>
      <c r="KBF2" s="85"/>
      <c r="KBG2" s="85"/>
      <c r="KBH2" s="85"/>
      <c r="KBI2" s="85"/>
      <c r="KBJ2" s="85"/>
      <c r="KBK2" s="85"/>
      <c r="KBL2" s="85"/>
      <c r="KBM2" s="85"/>
      <c r="KBN2" s="85"/>
      <c r="KBO2" s="85"/>
      <c r="KBP2" s="85"/>
      <c r="KBQ2" s="85"/>
      <c r="KBR2" s="85"/>
      <c r="KBS2" s="85"/>
      <c r="KBT2" s="85"/>
      <c r="KBU2" s="85"/>
      <c r="KBV2" s="85"/>
      <c r="KBW2" s="85"/>
      <c r="KBX2" s="85"/>
      <c r="KBY2" s="85"/>
      <c r="KBZ2" s="85"/>
      <c r="KCA2" s="85"/>
      <c r="KCB2" s="85"/>
      <c r="KCC2" s="85"/>
      <c r="KCD2" s="85"/>
      <c r="KCE2" s="85"/>
      <c r="KCF2" s="85"/>
      <c r="KCG2" s="85"/>
      <c r="KCH2" s="85"/>
      <c r="KCI2" s="85"/>
      <c r="KCJ2" s="85"/>
      <c r="KCK2" s="85"/>
      <c r="KCL2" s="85"/>
      <c r="KCM2" s="85"/>
      <c r="KCN2" s="85"/>
      <c r="KCO2" s="85"/>
      <c r="KCP2" s="85"/>
      <c r="KCQ2" s="85"/>
      <c r="KCR2" s="85"/>
      <c r="KCS2" s="85"/>
      <c r="KCT2" s="85"/>
      <c r="KCU2" s="85"/>
      <c r="KCV2" s="85"/>
      <c r="KCW2" s="85"/>
      <c r="KCX2" s="85"/>
      <c r="KCY2" s="85"/>
      <c r="KCZ2" s="85"/>
      <c r="KDA2" s="85"/>
      <c r="KDB2" s="85"/>
      <c r="KDC2" s="85"/>
      <c r="KDD2" s="85"/>
      <c r="KDE2" s="85"/>
      <c r="KDF2" s="85"/>
      <c r="KDG2" s="85"/>
      <c r="KDH2" s="85"/>
      <c r="KDI2" s="85"/>
      <c r="KDJ2" s="85"/>
      <c r="KDK2" s="85"/>
      <c r="KDL2" s="85"/>
      <c r="KDM2" s="85"/>
      <c r="KDN2" s="85"/>
      <c r="KDO2" s="85"/>
      <c r="KDP2" s="85"/>
      <c r="KDQ2" s="85"/>
      <c r="KDR2" s="85"/>
      <c r="KDS2" s="85"/>
      <c r="KDT2" s="85"/>
      <c r="KDU2" s="85"/>
      <c r="KDV2" s="85"/>
      <c r="KDW2" s="85"/>
      <c r="KDX2" s="85"/>
      <c r="KDY2" s="85"/>
      <c r="KDZ2" s="85"/>
      <c r="KEA2" s="85"/>
      <c r="KEB2" s="85"/>
      <c r="KEC2" s="85"/>
      <c r="KED2" s="85"/>
      <c r="KEE2" s="85"/>
      <c r="KEF2" s="85"/>
      <c r="KEG2" s="85"/>
      <c r="KEH2" s="85"/>
      <c r="KEI2" s="85"/>
      <c r="KEJ2" s="85"/>
      <c r="KEK2" s="85"/>
      <c r="KEL2" s="85"/>
      <c r="KEM2" s="85"/>
      <c r="KEN2" s="85"/>
      <c r="KEO2" s="85"/>
      <c r="KEP2" s="85"/>
      <c r="KEQ2" s="85"/>
      <c r="KER2" s="85"/>
      <c r="KES2" s="85"/>
      <c r="KET2" s="85"/>
      <c r="KEU2" s="85"/>
      <c r="KEV2" s="85"/>
      <c r="KEW2" s="85"/>
      <c r="KEX2" s="85"/>
      <c r="KEY2" s="85"/>
      <c r="KEZ2" s="85"/>
      <c r="KFA2" s="85"/>
      <c r="KFB2" s="85"/>
      <c r="KFC2" s="85"/>
      <c r="KFD2" s="85"/>
      <c r="KFE2" s="85"/>
      <c r="KFF2" s="85"/>
      <c r="KFG2" s="85"/>
      <c r="KFH2" s="85"/>
      <c r="KFI2" s="85"/>
      <c r="KFJ2" s="85"/>
      <c r="KFK2" s="85"/>
      <c r="KFL2" s="85"/>
      <c r="KFM2" s="85"/>
      <c r="KFN2" s="85"/>
      <c r="KFO2" s="85"/>
      <c r="KFP2" s="85"/>
      <c r="KFQ2" s="85"/>
      <c r="KFR2" s="85"/>
      <c r="KFS2" s="85"/>
      <c r="KFT2" s="85"/>
      <c r="KFU2" s="85"/>
      <c r="KFV2" s="85"/>
      <c r="KFW2" s="85"/>
      <c r="KFX2" s="85"/>
      <c r="KFY2" s="85"/>
      <c r="KFZ2" s="85"/>
      <c r="KGA2" s="85"/>
      <c r="KGB2" s="85"/>
      <c r="KGC2" s="85"/>
      <c r="KGD2" s="85"/>
      <c r="KGE2" s="85"/>
      <c r="KGF2" s="85"/>
      <c r="KGG2" s="85"/>
      <c r="KGH2" s="85"/>
      <c r="KGI2" s="85"/>
      <c r="KGJ2" s="85"/>
      <c r="KGK2" s="85"/>
      <c r="KGL2" s="85"/>
      <c r="KGM2" s="85"/>
      <c r="KGN2" s="85"/>
      <c r="KGO2" s="85"/>
      <c r="KGP2" s="85"/>
      <c r="KGQ2" s="85"/>
      <c r="KGR2" s="85"/>
      <c r="KGS2" s="85"/>
      <c r="KGT2" s="85"/>
      <c r="KGU2" s="85"/>
      <c r="KGV2" s="85"/>
      <c r="KGW2" s="85"/>
      <c r="KGX2" s="85"/>
      <c r="KGY2" s="85"/>
      <c r="KGZ2" s="85"/>
      <c r="KHA2" s="85"/>
      <c r="KHB2" s="85"/>
      <c r="KHC2" s="85"/>
      <c r="KHD2" s="85"/>
      <c r="KHE2" s="85"/>
      <c r="KHF2" s="85"/>
      <c r="KHG2" s="85"/>
      <c r="KHH2" s="85"/>
      <c r="KHI2" s="85"/>
      <c r="KHJ2" s="85"/>
      <c r="KHK2" s="85"/>
      <c r="KHL2" s="85"/>
      <c r="KHM2" s="85"/>
      <c r="KHN2" s="85"/>
      <c r="KHO2" s="85"/>
      <c r="KHP2" s="85"/>
      <c r="KHQ2" s="85"/>
      <c r="KHR2" s="85"/>
      <c r="KHS2" s="85"/>
      <c r="KHT2" s="85"/>
      <c r="KHU2" s="85"/>
      <c r="KHV2" s="85"/>
      <c r="KHW2" s="85"/>
      <c r="KHX2" s="85"/>
      <c r="KHY2" s="85"/>
      <c r="KHZ2" s="85"/>
      <c r="KIA2" s="85"/>
      <c r="KIB2" s="85"/>
      <c r="KIC2" s="85"/>
      <c r="KID2" s="85"/>
      <c r="KIE2" s="85"/>
      <c r="KIF2" s="85"/>
      <c r="KIG2" s="85"/>
      <c r="KIH2" s="85"/>
      <c r="KII2" s="85"/>
      <c r="KIJ2" s="85"/>
      <c r="KIK2" s="85"/>
      <c r="KIL2" s="85"/>
      <c r="KIM2" s="85"/>
      <c r="KIN2" s="85"/>
      <c r="KIO2" s="85"/>
      <c r="KIP2" s="85"/>
      <c r="KIQ2" s="85"/>
      <c r="KIR2" s="85"/>
      <c r="KIS2" s="85"/>
      <c r="KIT2" s="85"/>
      <c r="KIU2" s="85"/>
      <c r="KIV2" s="85"/>
      <c r="KIW2" s="85"/>
      <c r="KIX2" s="85"/>
      <c r="KIY2" s="85"/>
      <c r="KIZ2" s="85"/>
      <c r="KJA2" s="85"/>
      <c r="KJB2" s="85"/>
      <c r="KJC2" s="85"/>
      <c r="KJD2" s="85"/>
      <c r="KJE2" s="85"/>
      <c r="KJF2" s="85"/>
      <c r="KJG2" s="85"/>
      <c r="KJH2" s="85"/>
      <c r="KJI2" s="85"/>
      <c r="KJJ2" s="85"/>
      <c r="KJK2" s="85"/>
      <c r="KJL2" s="85"/>
      <c r="KJM2" s="85"/>
      <c r="KJN2" s="85"/>
      <c r="KJO2" s="85"/>
      <c r="KJP2" s="85"/>
      <c r="KJQ2" s="85"/>
      <c r="KJR2" s="85"/>
      <c r="KJS2" s="85"/>
      <c r="KJT2" s="85"/>
      <c r="KJU2" s="85"/>
      <c r="KJV2" s="85"/>
      <c r="KJW2" s="85"/>
      <c r="KJX2" s="85"/>
      <c r="KJY2" s="85"/>
      <c r="KJZ2" s="85"/>
      <c r="KKA2" s="85"/>
      <c r="KKB2" s="85"/>
      <c r="KKC2" s="85"/>
      <c r="KKD2" s="85"/>
      <c r="KKE2" s="85"/>
      <c r="KKF2" s="85"/>
      <c r="KKG2" s="85"/>
      <c r="KKH2" s="85"/>
      <c r="KKI2" s="85"/>
      <c r="KKJ2" s="85"/>
      <c r="KKK2" s="85"/>
      <c r="KKL2" s="85"/>
      <c r="KKM2" s="85"/>
      <c r="KKN2" s="85"/>
      <c r="KKO2" s="85"/>
      <c r="KKP2" s="85"/>
      <c r="KKQ2" s="85"/>
      <c r="KKR2" s="85"/>
      <c r="KKS2" s="85"/>
      <c r="KKT2" s="85"/>
      <c r="KKU2" s="85"/>
      <c r="KKV2" s="85"/>
      <c r="KKW2" s="85"/>
      <c r="KKX2" s="85"/>
      <c r="KKY2" s="85"/>
      <c r="KKZ2" s="85"/>
      <c r="KLA2" s="85"/>
      <c r="KLB2" s="85"/>
      <c r="KLC2" s="85"/>
      <c r="KLD2" s="85"/>
      <c r="KLE2" s="85"/>
      <c r="KLF2" s="85"/>
      <c r="KLG2" s="85"/>
      <c r="KLH2" s="85"/>
      <c r="KLI2" s="85"/>
      <c r="KLJ2" s="85"/>
      <c r="KLK2" s="85"/>
      <c r="KLL2" s="85"/>
      <c r="KLM2" s="85"/>
      <c r="KLN2" s="85"/>
      <c r="KLO2" s="85"/>
      <c r="KLP2" s="85"/>
      <c r="KLQ2" s="85"/>
      <c r="KLR2" s="85"/>
      <c r="KLS2" s="85"/>
      <c r="KLT2" s="85"/>
      <c r="KLU2" s="85"/>
      <c r="KLV2" s="85"/>
      <c r="KLW2" s="85"/>
      <c r="KLX2" s="85"/>
      <c r="KLY2" s="85"/>
      <c r="KLZ2" s="85"/>
      <c r="KMA2" s="85"/>
      <c r="KMB2" s="85"/>
      <c r="KMC2" s="85"/>
      <c r="KMD2" s="85"/>
      <c r="KME2" s="85"/>
      <c r="KMF2" s="85"/>
      <c r="KMG2" s="85"/>
      <c r="KMH2" s="85"/>
      <c r="KMI2" s="85"/>
      <c r="KMJ2" s="85"/>
      <c r="KMK2" s="85"/>
      <c r="KML2" s="85"/>
      <c r="KMM2" s="85"/>
      <c r="KMN2" s="85"/>
      <c r="KMO2" s="85"/>
      <c r="KMP2" s="85"/>
      <c r="KMQ2" s="85"/>
      <c r="KMR2" s="85"/>
      <c r="KMS2" s="85"/>
      <c r="KMT2" s="85"/>
      <c r="KMU2" s="85"/>
      <c r="KMV2" s="85"/>
      <c r="KMW2" s="85"/>
      <c r="KMX2" s="85"/>
      <c r="KMY2" s="85"/>
      <c r="KMZ2" s="85"/>
      <c r="KNA2" s="85"/>
      <c r="KNB2" s="85"/>
      <c r="KNC2" s="85"/>
      <c r="KND2" s="85"/>
      <c r="KNE2" s="85"/>
      <c r="KNF2" s="85"/>
      <c r="KNG2" s="85"/>
      <c r="KNH2" s="85"/>
      <c r="KNI2" s="85"/>
      <c r="KNJ2" s="85"/>
      <c r="KNK2" s="85"/>
      <c r="KNL2" s="85"/>
      <c r="KNM2" s="85"/>
      <c r="KNN2" s="85"/>
      <c r="KNO2" s="85"/>
      <c r="KNP2" s="85"/>
      <c r="KNQ2" s="85"/>
      <c r="KNR2" s="85"/>
      <c r="KNS2" s="85"/>
      <c r="KNT2" s="85"/>
      <c r="KNU2" s="85"/>
      <c r="KNV2" s="85"/>
      <c r="KNW2" s="85"/>
      <c r="KNX2" s="85"/>
      <c r="KNY2" s="85"/>
      <c r="KNZ2" s="85"/>
      <c r="KOA2" s="85"/>
      <c r="KOB2" s="85"/>
      <c r="KOC2" s="85"/>
      <c r="KOD2" s="85"/>
      <c r="KOE2" s="85"/>
      <c r="KOF2" s="85"/>
      <c r="KOG2" s="85"/>
      <c r="KOH2" s="85"/>
      <c r="KOI2" s="85"/>
      <c r="KOJ2" s="85"/>
      <c r="KOK2" s="85"/>
      <c r="KOL2" s="85"/>
      <c r="KOM2" s="85"/>
      <c r="KON2" s="85"/>
      <c r="KOO2" s="85"/>
      <c r="KOP2" s="85"/>
      <c r="KOQ2" s="85"/>
      <c r="KOR2" s="85"/>
      <c r="KOS2" s="85"/>
      <c r="KOT2" s="85"/>
      <c r="KOU2" s="85"/>
      <c r="KOV2" s="85"/>
      <c r="KOW2" s="85"/>
      <c r="KOX2" s="85"/>
      <c r="KOY2" s="85"/>
      <c r="KOZ2" s="85"/>
      <c r="KPA2" s="85"/>
      <c r="KPB2" s="85"/>
      <c r="KPC2" s="85"/>
      <c r="KPD2" s="85"/>
      <c r="KPE2" s="85"/>
      <c r="KPF2" s="85"/>
      <c r="KPG2" s="85"/>
      <c r="KPH2" s="85"/>
      <c r="KPI2" s="85"/>
      <c r="KPJ2" s="85"/>
      <c r="KPK2" s="85"/>
      <c r="KPL2" s="85"/>
      <c r="KPM2" s="85"/>
      <c r="KPN2" s="85"/>
      <c r="KPO2" s="85"/>
      <c r="KPP2" s="85"/>
      <c r="KPQ2" s="85"/>
      <c r="KPR2" s="85"/>
      <c r="KPS2" s="85"/>
      <c r="KPT2" s="85"/>
      <c r="KPU2" s="85"/>
      <c r="KPV2" s="85"/>
      <c r="KPW2" s="85"/>
      <c r="KPX2" s="85"/>
      <c r="KPY2" s="85"/>
      <c r="KPZ2" s="85"/>
      <c r="KQA2" s="85"/>
      <c r="KQB2" s="85"/>
      <c r="KQC2" s="85"/>
      <c r="KQD2" s="85"/>
      <c r="KQE2" s="85"/>
      <c r="KQF2" s="85"/>
      <c r="KQG2" s="85"/>
      <c r="KQH2" s="85"/>
      <c r="KQI2" s="85"/>
      <c r="KQJ2" s="85"/>
      <c r="KQK2" s="85"/>
      <c r="KQL2" s="85"/>
      <c r="KQM2" s="85"/>
      <c r="KQN2" s="85"/>
      <c r="KQO2" s="85"/>
      <c r="KQP2" s="85"/>
      <c r="KQQ2" s="85"/>
      <c r="KQR2" s="85"/>
      <c r="KQS2" s="85"/>
      <c r="KQT2" s="85"/>
      <c r="KQU2" s="85"/>
      <c r="KQV2" s="85"/>
      <c r="KQW2" s="85"/>
      <c r="KQX2" s="85"/>
      <c r="KQY2" s="85"/>
      <c r="KQZ2" s="85"/>
      <c r="KRA2" s="85"/>
      <c r="KRB2" s="85"/>
      <c r="KRC2" s="85"/>
      <c r="KRD2" s="85"/>
      <c r="KRE2" s="85"/>
      <c r="KRF2" s="85"/>
      <c r="KRG2" s="85"/>
      <c r="KRH2" s="85"/>
      <c r="KRI2" s="85"/>
      <c r="KRJ2" s="85"/>
      <c r="KRK2" s="85"/>
      <c r="KRL2" s="85"/>
      <c r="KRM2" s="85"/>
      <c r="KRN2" s="85"/>
      <c r="KRO2" s="85"/>
      <c r="KRP2" s="85"/>
      <c r="KRQ2" s="85"/>
      <c r="KRR2" s="85"/>
      <c r="KRS2" s="85"/>
      <c r="KRT2" s="85"/>
      <c r="KRU2" s="85"/>
      <c r="KRV2" s="85"/>
      <c r="KRW2" s="85"/>
      <c r="KRX2" s="85"/>
      <c r="KRY2" s="85"/>
      <c r="KRZ2" s="85"/>
      <c r="KSA2" s="85"/>
      <c r="KSB2" s="85"/>
      <c r="KSC2" s="85"/>
      <c r="KSD2" s="85"/>
      <c r="KSE2" s="85"/>
      <c r="KSF2" s="85"/>
      <c r="KSG2" s="85"/>
      <c r="KSH2" s="85"/>
      <c r="KSI2" s="85"/>
      <c r="KSJ2" s="85"/>
      <c r="KSK2" s="85"/>
      <c r="KSL2" s="85"/>
      <c r="KSM2" s="85"/>
      <c r="KSN2" s="85"/>
      <c r="KSO2" s="85"/>
      <c r="KSP2" s="85"/>
      <c r="KSQ2" s="85"/>
      <c r="KSR2" s="85"/>
      <c r="KSS2" s="85"/>
      <c r="KST2" s="85"/>
      <c r="KSU2" s="85"/>
      <c r="KSV2" s="85"/>
      <c r="KSW2" s="85"/>
      <c r="KSX2" s="85"/>
      <c r="KSY2" s="85"/>
      <c r="KSZ2" s="85"/>
      <c r="KTA2" s="85"/>
      <c r="KTB2" s="85"/>
      <c r="KTC2" s="85"/>
      <c r="KTD2" s="85"/>
      <c r="KTE2" s="85"/>
      <c r="KTF2" s="85"/>
      <c r="KTG2" s="85"/>
      <c r="KTH2" s="85"/>
      <c r="KTI2" s="85"/>
      <c r="KTJ2" s="85"/>
      <c r="KTK2" s="85"/>
      <c r="KTL2" s="85"/>
      <c r="KTM2" s="85"/>
      <c r="KTN2" s="85"/>
      <c r="KTO2" s="85"/>
      <c r="KTP2" s="85"/>
      <c r="KTQ2" s="85"/>
      <c r="KTR2" s="85"/>
      <c r="KTS2" s="85"/>
      <c r="KTT2" s="85"/>
      <c r="KTU2" s="85"/>
      <c r="KTV2" s="85"/>
      <c r="KTW2" s="85"/>
      <c r="KTX2" s="85"/>
      <c r="KTY2" s="85"/>
      <c r="KTZ2" s="85"/>
      <c r="KUA2" s="85"/>
      <c r="KUB2" s="85"/>
      <c r="KUC2" s="85"/>
      <c r="KUD2" s="85"/>
      <c r="KUE2" s="85"/>
      <c r="KUF2" s="85"/>
      <c r="KUG2" s="85"/>
      <c r="KUH2" s="85"/>
      <c r="KUI2" s="85"/>
      <c r="KUJ2" s="85"/>
      <c r="KUK2" s="85"/>
      <c r="KUL2" s="85"/>
      <c r="KUM2" s="85"/>
      <c r="KUN2" s="85"/>
      <c r="KUO2" s="85"/>
      <c r="KUP2" s="85"/>
      <c r="KUQ2" s="85"/>
      <c r="KUR2" s="85"/>
      <c r="KUS2" s="85"/>
      <c r="KUT2" s="85"/>
      <c r="KUU2" s="85"/>
      <c r="KUV2" s="85"/>
      <c r="KUW2" s="85"/>
      <c r="KUX2" s="85"/>
      <c r="KUY2" s="85"/>
      <c r="KUZ2" s="85"/>
      <c r="KVA2" s="85"/>
      <c r="KVB2" s="85"/>
      <c r="KVC2" s="85"/>
      <c r="KVD2" s="85"/>
      <c r="KVE2" s="85"/>
      <c r="KVF2" s="85"/>
      <c r="KVG2" s="85"/>
      <c r="KVH2" s="85"/>
      <c r="KVI2" s="85"/>
      <c r="KVJ2" s="85"/>
      <c r="KVK2" s="85"/>
      <c r="KVL2" s="85"/>
      <c r="KVM2" s="85"/>
      <c r="KVN2" s="85"/>
      <c r="KVO2" s="85"/>
      <c r="KVP2" s="85"/>
      <c r="KVQ2" s="85"/>
      <c r="KVR2" s="85"/>
      <c r="KVS2" s="85"/>
      <c r="KVT2" s="85"/>
      <c r="KVU2" s="85"/>
      <c r="KVV2" s="85"/>
      <c r="KVW2" s="85"/>
      <c r="KVX2" s="85"/>
      <c r="KVY2" s="85"/>
      <c r="KVZ2" s="85"/>
      <c r="KWA2" s="85"/>
      <c r="KWB2" s="85"/>
      <c r="KWC2" s="85"/>
      <c r="KWD2" s="85"/>
      <c r="KWE2" s="85"/>
      <c r="KWF2" s="85"/>
      <c r="KWG2" s="85"/>
      <c r="KWH2" s="85"/>
      <c r="KWI2" s="85"/>
      <c r="KWJ2" s="85"/>
      <c r="KWK2" s="85"/>
      <c r="KWL2" s="85"/>
      <c r="KWM2" s="85"/>
      <c r="KWN2" s="85"/>
      <c r="KWO2" s="85"/>
      <c r="KWP2" s="85"/>
      <c r="KWQ2" s="85"/>
      <c r="KWR2" s="85"/>
      <c r="KWS2" s="85"/>
      <c r="KWT2" s="85"/>
      <c r="KWU2" s="85"/>
      <c r="KWV2" s="85"/>
      <c r="KWW2" s="85"/>
      <c r="KWX2" s="85"/>
      <c r="KWY2" s="85"/>
      <c r="KWZ2" s="85"/>
      <c r="KXA2" s="85"/>
      <c r="KXB2" s="85"/>
      <c r="KXC2" s="85"/>
      <c r="KXD2" s="85"/>
      <c r="KXE2" s="85"/>
      <c r="KXF2" s="85"/>
      <c r="KXG2" s="85"/>
      <c r="KXH2" s="85"/>
      <c r="KXI2" s="85"/>
      <c r="KXJ2" s="85"/>
      <c r="KXK2" s="85"/>
      <c r="KXL2" s="85"/>
      <c r="KXM2" s="85"/>
      <c r="KXN2" s="85"/>
      <c r="KXO2" s="85"/>
      <c r="KXP2" s="85"/>
      <c r="KXQ2" s="85"/>
      <c r="KXR2" s="85"/>
      <c r="KXS2" s="85"/>
      <c r="KXT2" s="85"/>
      <c r="KXU2" s="85"/>
      <c r="KXV2" s="85"/>
      <c r="KXW2" s="85"/>
      <c r="KXX2" s="85"/>
      <c r="KXY2" s="85"/>
      <c r="KXZ2" s="85"/>
      <c r="KYA2" s="85"/>
      <c r="KYB2" s="85"/>
      <c r="KYC2" s="85"/>
      <c r="KYD2" s="85"/>
      <c r="KYE2" s="85"/>
      <c r="KYF2" s="85"/>
      <c r="KYG2" s="85"/>
      <c r="KYH2" s="85"/>
      <c r="KYI2" s="85"/>
      <c r="KYJ2" s="85"/>
      <c r="KYK2" s="85"/>
      <c r="KYL2" s="85"/>
      <c r="KYM2" s="85"/>
      <c r="KYN2" s="85"/>
      <c r="KYO2" s="85"/>
      <c r="KYP2" s="85"/>
      <c r="KYQ2" s="85"/>
      <c r="KYR2" s="85"/>
      <c r="KYS2" s="85"/>
      <c r="KYT2" s="85"/>
      <c r="KYU2" s="85"/>
      <c r="KYV2" s="85"/>
      <c r="KYW2" s="85"/>
      <c r="KYX2" s="85"/>
      <c r="KYY2" s="85"/>
      <c r="KYZ2" s="85"/>
      <c r="KZA2" s="85"/>
      <c r="KZB2" s="85"/>
      <c r="KZC2" s="85"/>
      <c r="KZD2" s="85"/>
      <c r="KZE2" s="85"/>
      <c r="KZF2" s="85"/>
      <c r="KZG2" s="85"/>
      <c r="KZH2" s="85"/>
      <c r="KZI2" s="85"/>
      <c r="KZJ2" s="85"/>
      <c r="KZK2" s="85"/>
      <c r="KZL2" s="85"/>
      <c r="KZM2" s="85"/>
      <c r="KZN2" s="85"/>
      <c r="KZO2" s="85"/>
      <c r="KZP2" s="85"/>
      <c r="KZQ2" s="85"/>
      <c r="KZR2" s="85"/>
      <c r="KZS2" s="85"/>
      <c r="KZT2" s="85"/>
      <c r="KZU2" s="85"/>
      <c r="KZV2" s="85"/>
      <c r="KZW2" s="85"/>
      <c r="KZX2" s="85"/>
      <c r="KZY2" s="85"/>
      <c r="KZZ2" s="85"/>
      <c r="LAA2" s="85"/>
      <c r="LAB2" s="85"/>
      <c r="LAC2" s="85"/>
      <c r="LAD2" s="85"/>
      <c r="LAE2" s="85"/>
      <c r="LAF2" s="85"/>
      <c r="LAG2" s="85"/>
      <c r="LAH2" s="85"/>
      <c r="LAI2" s="85"/>
      <c r="LAJ2" s="85"/>
      <c r="LAK2" s="85"/>
      <c r="LAL2" s="85"/>
      <c r="LAM2" s="85"/>
      <c r="LAN2" s="85"/>
      <c r="LAO2" s="85"/>
      <c r="LAP2" s="85"/>
      <c r="LAQ2" s="85"/>
      <c r="LAR2" s="85"/>
      <c r="LAS2" s="85"/>
      <c r="LAT2" s="85"/>
      <c r="LAU2" s="85"/>
      <c r="LAV2" s="85"/>
      <c r="LAW2" s="85"/>
      <c r="LAX2" s="85"/>
      <c r="LAY2" s="85"/>
      <c r="LAZ2" s="85"/>
      <c r="LBA2" s="85"/>
      <c r="LBB2" s="85"/>
      <c r="LBC2" s="85"/>
      <c r="LBD2" s="85"/>
      <c r="LBE2" s="85"/>
      <c r="LBF2" s="85"/>
      <c r="LBG2" s="85"/>
      <c r="LBH2" s="85"/>
      <c r="LBI2" s="85"/>
      <c r="LBJ2" s="85"/>
      <c r="LBK2" s="85"/>
      <c r="LBL2" s="85"/>
      <c r="LBM2" s="85"/>
      <c r="LBN2" s="85"/>
      <c r="LBO2" s="85"/>
      <c r="LBP2" s="85"/>
      <c r="LBQ2" s="85"/>
      <c r="LBR2" s="85"/>
      <c r="LBS2" s="85"/>
      <c r="LBT2" s="85"/>
      <c r="LBU2" s="85"/>
      <c r="LBV2" s="85"/>
      <c r="LBW2" s="85"/>
      <c r="LBX2" s="85"/>
      <c r="LBY2" s="85"/>
      <c r="LBZ2" s="85"/>
      <c r="LCA2" s="85"/>
      <c r="LCB2" s="85"/>
      <c r="LCC2" s="85"/>
      <c r="LCD2" s="85"/>
      <c r="LCE2" s="85"/>
      <c r="LCF2" s="85"/>
      <c r="LCG2" s="85"/>
      <c r="LCH2" s="85"/>
      <c r="LCI2" s="85"/>
      <c r="LCJ2" s="85"/>
      <c r="LCK2" s="85"/>
      <c r="LCL2" s="85"/>
      <c r="LCM2" s="85"/>
      <c r="LCN2" s="85"/>
      <c r="LCO2" s="85"/>
      <c r="LCP2" s="85"/>
      <c r="LCQ2" s="85"/>
      <c r="LCR2" s="85"/>
      <c r="LCS2" s="85"/>
      <c r="LCT2" s="85"/>
      <c r="LCU2" s="85"/>
      <c r="LCV2" s="85"/>
      <c r="LCW2" s="85"/>
      <c r="LCX2" s="85"/>
      <c r="LCY2" s="85"/>
      <c r="LCZ2" s="85"/>
      <c r="LDA2" s="85"/>
      <c r="LDB2" s="85"/>
      <c r="LDC2" s="85"/>
      <c r="LDD2" s="85"/>
      <c r="LDE2" s="85"/>
      <c r="LDF2" s="85"/>
      <c r="LDG2" s="85"/>
      <c r="LDH2" s="85"/>
      <c r="LDI2" s="85"/>
      <c r="LDJ2" s="85"/>
      <c r="LDK2" s="85"/>
      <c r="LDL2" s="85"/>
      <c r="LDM2" s="85"/>
      <c r="LDN2" s="85"/>
      <c r="LDO2" s="85"/>
      <c r="LDP2" s="85"/>
      <c r="LDQ2" s="85"/>
      <c r="LDR2" s="85"/>
      <c r="LDS2" s="85"/>
      <c r="LDT2" s="85"/>
      <c r="LDU2" s="85"/>
      <c r="LDV2" s="85"/>
      <c r="LDW2" s="85"/>
      <c r="LDX2" s="85"/>
      <c r="LDY2" s="85"/>
      <c r="LDZ2" s="85"/>
      <c r="LEA2" s="85"/>
      <c r="LEB2" s="85"/>
      <c r="LEC2" s="85"/>
      <c r="LED2" s="85"/>
      <c r="LEE2" s="85"/>
      <c r="LEF2" s="85"/>
      <c r="LEG2" s="85"/>
      <c r="LEH2" s="85"/>
      <c r="LEI2" s="85"/>
      <c r="LEJ2" s="85"/>
      <c r="LEK2" s="85"/>
      <c r="LEL2" s="85"/>
      <c r="LEM2" s="85"/>
      <c r="LEN2" s="85"/>
      <c r="LEO2" s="85"/>
      <c r="LEP2" s="85"/>
      <c r="LEQ2" s="85"/>
      <c r="LER2" s="85"/>
      <c r="LES2" s="85"/>
      <c r="LET2" s="85"/>
      <c r="LEU2" s="85"/>
      <c r="LEV2" s="85"/>
      <c r="LEW2" s="85"/>
      <c r="LEX2" s="85"/>
      <c r="LEY2" s="85"/>
      <c r="LEZ2" s="85"/>
      <c r="LFA2" s="85"/>
      <c r="LFB2" s="85"/>
      <c r="LFC2" s="85"/>
      <c r="LFD2" s="85"/>
      <c r="LFE2" s="85"/>
      <c r="LFF2" s="85"/>
      <c r="LFG2" s="85"/>
      <c r="LFH2" s="85"/>
      <c r="LFI2" s="85"/>
      <c r="LFJ2" s="85"/>
      <c r="LFK2" s="85"/>
      <c r="LFL2" s="85"/>
      <c r="LFM2" s="85"/>
      <c r="LFN2" s="85"/>
      <c r="LFO2" s="85"/>
      <c r="LFP2" s="85"/>
      <c r="LFQ2" s="85"/>
      <c r="LFR2" s="85"/>
      <c r="LFS2" s="85"/>
      <c r="LFT2" s="85"/>
      <c r="LFU2" s="85"/>
      <c r="LFV2" s="85"/>
      <c r="LFW2" s="85"/>
      <c r="LFX2" s="85"/>
      <c r="LFY2" s="85"/>
      <c r="LFZ2" s="85"/>
      <c r="LGA2" s="85"/>
      <c r="LGB2" s="85"/>
      <c r="LGC2" s="85"/>
      <c r="LGD2" s="85"/>
      <c r="LGE2" s="85"/>
      <c r="LGF2" s="85"/>
      <c r="LGG2" s="85"/>
      <c r="LGH2" s="85"/>
      <c r="LGI2" s="85"/>
      <c r="LGJ2" s="85"/>
      <c r="LGK2" s="85"/>
      <c r="LGL2" s="85"/>
      <c r="LGM2" s="85"/>
      <c r="LGN2" s="85"/>
      <c r="LGO2" s="85"/>
      <c r="LGP2" s="85"/>
      <c r="LGQ2" s="85"/>
      <c r="LGR2" s="85"/>
      <c r="LGS2" s="85"/>
      <c r="LGT2" s="85"/>
      <c r="LGU2" s="85"/>
      <c r="LGV2" s="85"/>
      <c r="LGW2" s="85"/>
      <c r="LGX2" s="85"/>
      <c r="LGY2" s="85"/>
      <c r="LGZ2" s="85"/>
      <c r="LHA2" s="85"/>
      <c r="LHB2" s="85"/>
      <c r="LHC2" s="85"/>
      <c r="LHD2" s="85"/>
      <c r="LHE2" s="85"/>
      <c r="LHF2" s="85"/>
      <c r="LHG2" s="85"/>
      <c r="LHH2" s="85"/>
      <c r="LHI2" s="85"/>
      <c r="LHJ2" s="85"/>
      <c r="LHK2" s="85"/>
      <c r="LHL2" s="85"/>
      <c r="LHM2" s="85"/>
      <c r="LHN2" s="85"/>
      <c r="LHO2" s="85"/>
      <c r="LHP2" s="85"/>
      <c r="LHQ2" s="85"/>
      <c r="LHR2" s="85"/>
      <c r="LHS2" s="85"/>
      <c r="LHT2" s="85"/>
      <c r="LHU2" s="85"/>
      <c r="LHV2" s="85"/>
      <c r="LHW2" s="85"/>
      <c r="LHX2" s="85"/>
      <c r="LHY2" s="85"/>
      <c r="LHZ2" s="85"/>
      <c r="LIA2" s="85"/>
      <c r="LIB2" s="85"/>
      <c r="LIC2" s="85"/>
      <c r="LID2" s="85"/>
      <c r="LIE2" s="85"/>
      <c r="LIF2" s="85"/>
      <c r="LIG2" s="85"/>
      <c r="LIH2" s="85"/>
      <c r="LII2" s="85"/>
      <c r="LIJ2" s="85"/>
      <c r="LIK2" s="85"/>
      <c r="LIL2" s="85"/>
      <c r="LIM2" s="85"/>
      <c r="LIN2" s="85"/>
      <c r="LIO2" s="85"/>
      <c r="LIP2" s="85"/>
      <c r="LIQ2" s="85"/>
      <c r="LIR2" s="85"/>
      <c r="LIS2" s="85"/>
      <c r="LIT2" s="85"/>
      <c r="LIU2" s="85"/>
      <c r="LIV2" s="85"/>
      <c r="LIW2" s="85"/>
      <c r="LIX2" s="85"/>
      <c r="LIY2" s="85"/>
      <c r="LIZ2" s="85"/>
      <c r="LJA2" s="85"/>
      <c r="LJB2" s="85"/>
      <c r="LJC2" s="85"/>
      <c r="LJD2" s="85"/>
      <c r="LJE2" s="85"/>
      <c r="LJF2" s="85"/>
      <c r="LJG2" s="85"/>
      <c r="LJH2" s="85"/>
      <c r="LJI2" s="85"/>
      <c r="LJJ2" s="85"/>
      <c r="LJK2" s="85"/>
      <c r="LJL2" s="85"/>
      <c r="LJM2" s="85"/>
      <c r="LJN2" s="85"/>
      <c r="LJO2" s="85"/>
      <c r="LJP2" s="85"/>
      <c r="LJQ2" s="85"/>
      <c r="LJR2" s="85"/>
      <c r="LJS2" s="85"/>
      <c r="LJT2" s="85"/>
      <c r="LJU2" s="85"/>
      <c r="LJV2" s="85"/>
      <c r="LJW2" s="85"/>
      <c r="LJX2" s="85"/>
      <c r="LJY2" s="85"/>
      <c r="LJZ2" s="85"/>
      <c r="LKA2" s="85"/>
      <c r="LKB2" s="85"/>
      <c r="LKC2" s="85"/>
      <c r="LKD2" s="85"/>
      <c r="LKE2" s="85"/>
      <c r="LKF2" s="85"/>
      <c r="LKG2" s="85"/>
      <c r="LKH2" s="85"/>
      <c r="LKI2" s="85"/>
      <c r="LKJ2" s="85"/>
      <c r="LKK2" s="85"/>
      <c r="LKL2" s="85"/>
      <c r="LKM2" s="85"/>
      <c r="LKN2" s="85"/>
      <c r="LKO2" s="85"/>
      <c r="LKP2" s="85"/>
      <c r="LKQ2" s="85"/>
      <c r="LKR2" s="85"/>
      <c r="LKS2" s="85"/>
      <c r="LKT2" s="85"/>
      <c r="LKU2" s="85"/>
      <c r="LKV2" s="85"/>
      <c r="LKW2" s="85"/>
      <c r="LKX2" s="85"/>
      <c r="LKY2" s="85"/>
      <c r="LKZ2" s="85"/>
      <c r="LLA2" s="85"/>
      <c r="LLB2" s="85"/>
      <c r="LLC2" s="85"/>
      <c r="LLD2" s="85"/>
      <c r="LLE2" s="85"/>
      <c r="LLF2" s="85"/>
      <c r="LLG2" s="85"/>
      <c r="LLH2" s="85"/>
      <c r="LLI2" s="85"/>
      <c r="LLJ2" s="85"/>
      <c r="LLK2" s="85"/>
      <c r="LLL2" s="85"/>
      <c r="LLM2" s="85"/>
      <c r="LLN2" s="85"/>
      <c r="LLO2" s="85"/>
      <c r="LLP2" s="85"/>
      <c r="LLQ2" s="85"/>
      <c r="LLR2" s="85"/>
      <c r="LLS2" s="85"/>
      <c r="LLT2" s="85"/>
      <c r="LLU2" s="85"/>
      <c r="LLV2" s="85"/>
      <c r="LLW2" s="85"/>
      <c r="LLX2" s="85"/>
      <c r="LLY2" s="85"/>
      <c r="LLZ2" s="85"/>
      <c r="LMA2" s="85"/>
      <c r="LMB2" s="85"/>
      <c r="LMC2" s="85"/>
      <c r="LMD2" s="85"/>
      <c r="LME2" s="85"/>
      <c r="LMF2" s="85"/>
      <c r="LMG2" s="85"/>
      <c r="LMH2" s="85"/>
      <c r="LMI2" s="85"/>
      <c r="LMJ2" s="85"/>
      <c r="LMK2" s="85"/>
      <c r="LML2" s="85"/>
      <c r="LMM2" s="85"/>
      <c r="LMN2" s="85"/>
      <c r="LMO2" s="85"/>
      <c r="LMP2" s="85"/>
      <c r="LMQ2" s="85"/>
      <c r="LMR2" s="85"/>
      <c r="LMS2" s="85"/>
      <c r="LMT2" s="85"/>
      <c r="LMU2" s="85"/>
      <c r="LMV2" s="85"/>
      <c r="LMW2" s="85"/>
      <c r="LMX2" s="85"/>
      <c r="LMY2" s="85"/>
      <c r="LMZ2" s="85"/>
      <c r="LNA2" s="85"/>
      <c r="LNB2" s="85"/>
      <c r="LNC2" s="85"/>
      <c r="LND2" s="85"/>
      <c r="LNE2" s="85"/>
      <c r="LNF2" s="85"/>
      <c r="LNG2" s="85"/>
      <c r="LNH2" s="85"/>
      <c r="LNI2" s="85"/>
      <c r="LNJ2" s="85"/>
      <c r="LNK2" s="85"/>
      <c r="LNL2" s="85"/>
      <c r="LNM2" s="85"/>
      <c r="LNN2" s="85"/>
      <c r="LNO2" s="85"/>
      <c r="LNP2" s="85"/>
      <c r="LNQ2" s="85"/>
      <c r="LNR2" s="85"/>
      <c r="LNS2" s="85"/>
      <c r="LNT2" s="85"/>
      <c r="LNU2" s="85"/>
      <c r="LNV2" s="85"/>
      <c r="LNW2" s="85"/>
      <c r="LNX2" s="85"/>
      <c r="LNY2" s="85"/>
      <c r="LNZ2" s="85"/>
      <c r="LOA2" s="85"/>
      <c r="LOB2" s="85"/>
      <c r="LOC2" s="85"/>
      <c r="LOD2" s="85"/>
      <c r="LOE2" s="85"/>
      <c r="LOF2" s="85"/>
      <c r="LOG2" s="85"/>
      <c r="LOH2" s="85"/>
      <c r="LOI2" s="85"/>
      <c r="LOJ2" s="85"/>
      <c r="LOK2" s="85"/>
      <c r="LOL2" s="85"/>
      <c r="LOM2" s="85"/>
      <c r="LON2" s="85"/>
      <c r="LOO2" s="85"/>
      <c r="LOP2" s="85"/>
      <c r="LOQ2" s="85"/>
      <c r="LOR2" s="85"/>
      <c r="LOS2" s="85"/>
      <c r="LOT2" s="85"/>
      <c r="LOU2" s="85"/>
      <c r="LOV2" s="85"/>
      <c r="LOW2" s="85"/>
      <c r="LOX2" s="85"/>
      <c r="LOY2" s="85"/>
      <c r="LOZ2" s="85"/>
      <c r="LPA2" s="85"/>
      <c r="LPB2" s="85"/>
      <c r="LPC2" s="85"/>
      <c r="LPD2" s="85"/>
      <c r="LPE2" s="85"/>
      <c r="LPF2" s="85"/>
      <c r="LPG2" s="85"/>
      <c r="LPH2" s="85"/>
      <c r="LPI2" s="85"/>
      <c r="LPJ2" s="85"/>
      <c r="LPK2" s="85"/>
      <c r="LPL2" s="85"/>
      <c r="LPM2" s="85"/>
      <c r="LPN2" s="85"/>
      <c r="LPO2" s="85"/>
      <c r="LPP2" s="85"/>
      <c r="LPQ2" s="85"/>
      <c r="LPR2" s="85"/>
      <c r="LPS2" s="85"/>
      <c r="LPT2" s="85"/>
      <c r="LPU2" s="85"/>
      <c r="LPV2" s="85"/>
      <c r="LPW2" s="85"/>
      <c r="LPX2" s="85"/>
      <c r="LPY2" s="85"/>
      <c r="LPZ2" s="85"/>
      <c r="LQA2" s="85"/>
      <c r="LQB2" s="85"/>
      <c r="LQC2" s="85"/>
      <c r="LQD2" s="85"/>
      <c r="LQE2" s="85"/>
      <c r="LQF2" s="85"/>
      <c r="LQG2" s="85"/>
      <c r="LQH2" s="85"/>
      <c r="LQI2" s="85"/>
      <c r="LQJ2" s="85"/>
      <c r="LQK2" s="85"/>
      <c r="LQL2" s="85"/>
      <c r="LQM2" s="85"/>
      <c r="LQN2" s="85"/>
      <c r="LQO2" s="85"/>
      <c r="LQP2" s="85"/>
      <c r="LQQ2" s="85"/>
      <c r="LQR2" s="85"/>
      <c r="LQS2" s="85"/>
      <c r="LQT2" s="85"/>
      <c r="LQU2" s="85"/>
      <c r="LQV2" s="85"/>
      <c r="LQW2" s="85"/>
      <c r="LQX2" s="85"/>
      <c r="LQY2" s="85"/>
      <c r="LQZ2" s="85"/>
      <c r="LRA2" s="85"/>
      <c r="LRB2" s="85"/>
      <c r="LRC2" s="85"/>
      <c r="LRD2" s="85"/>
      <c r="LRE2" s="85"/>
      <c r="LRF2" s="85"/>
      <c r="LRG2" s="85"/>
      <c r="LRH2" s="85"/>
      <c r="LRI2" s="85"/>
      <c r="LRJ2" s="85"/>
      <c r="LRK2" s="85"/>
      <c r="LRL2" s="85"/>
      <c r="LRM2" s="85"/>
      <c r="LRN2" s="85"/>
      <c r="LRO2" s="85"/>
      <c r="LRP2" s="85"/>
      <c r="LRQ2" s="85"/>
      <c r="LRR2" s="85"/>
      <c r="LRS2" s="85"/>
      <c r="LRT2" s="85"/>
      <c r="LRU2" s="85"/>
      <c r="LRV2" s="85"/>
      <c r="LRW2" s="85"/>
      <c r="LRX2" s="85"/>
      <c r="LRY2" s="85"/>
      <c r="LRZ2" s="85"/>
      <c r="LSA2" s="85"/>
      <c r="LSB2" s="85"/>
      <c r="LSC2" s="85"/>
      <c r="LSD2" s="85"/>
      <c r="LSE2" s="85"/>
      <c r="LSF2" s="85"/>
      <c r="LSG2" s="85"/>
      <c r="LSH2" s="85"/>
      <c r="LSI2" s="85"/>
      <c r="LSJ2" s="85"/>
      <c r="LSK2" s="85"/>
      <c r="LSL2" s="85"/>
      <c r="LSM2" s="85"/>
      <c r="LSN2" s="85"/>
      <c r="LSO2" s="85"/>
      <c r="LSP2" s="85"/>
      <c r="LSQ2" s="85"/>
      <c r="LSR2" s="85"/>
      <c r="LSS2" s="85"/>
      <c r="LST2" s="85"/>
      <c r="LSU2" s="85"/>
      <c r="LSV2" s="85"/>
      <c r="LSW2" s="85"/>
      <c r="LSX2" s="85"/>
      <c r="LSY2" s="85"/>
      <c r="LSZ2" s="85"/>
      <c r="LTA2" s="85"/>
      <c r="LTB2" s="85"/>
      <c r="LTC2" s="85"/>
      <c r="LTD2" s="85"/>
      <c r="LTE2" s="85"/>
      <c r="LTF2" s="85"/>
      <c r="LTG2" s="85"/>
      <c r="LTH2" s="85"/>
      <c r="LTI2" s="85"/>
      <c r="LTJ2" s="85"/>
      <c r="LTK2" s="85"/>
      <c r="LTL2" s="85"/>
      <c r="LTM2" s="85"/>
      <c r="LTN2" s="85"/>
      <c r="LTO2" s="85"/>
      <c r="LTP2" s="85"/>
      <c r="LTQ2" s="85"/>
      <c r="LTR2" s="85"/>
      <c r="LTS2" s="85"/>
      <c r="LTT2" s="85"/>
      <c r="LTU2" s="85"/>
      <c r="LTV2" s="85"/>
      <c r="LTW2" s="85"/>
      <c r="LTX2" s="85"/>
      <c r="LTY2" s="85"/>
      <c r="LTZ2" s="85"/>
      <c r="LUA2" s="85"/>
      <c r="LUB2" s="85"/>
      <c r="LUC2" s="85"/>
      <c r="LUD2" s="85"/>
      <c r="LUE2" s="85"/>
      <c r="LUF2" s="85"/>
      <c r="LUG2" s="85"/>
      <c r="LUH2" s="85"/>
      <c r="LUI2" s="85"/>
      <c r="LUJ2" s="85"/>
      <c r="LUK2" s="85"/>
      <c r="LUL2" s="85"/>
      <c r="LUM2" s="85"/>
      <c r="LUN2" s="85"/>
      <c r="LUO2" s="85"/>
      <c r="LUP2" s="85"/>
      <c r="LUQ2" s="85"/>
      <c r="LUR2" s="85"/>
      <c r="LUS2" s="85"/>
      <c r="LUT2" s="85"/>
      <c r="LUU2" s="85"/>
      <c r="LUV2" s="85"/>
      <c r="LUW2" s="85"/>
      <c r="LUX2" s="85"/>
      <c r="LUY2" s="85"/>
      <c r="LUZ2" s="85"/>
      <c r="LVA2" s="85"/>
      <c r="LVB2" s="85"/>
      <c r="LVC2" s="85"/>
      <c r="LVD2" s="85"/>
      <c r="LVE2" s="85"/>
      <c r="LVF2" s="85"/>
      <c r="LVG2" s="85"/>
      <c r="LVH2" s="85"/>
      <c r="LVI2" s="85"/>
      <c r="LVJ2" s="85"/>
      <c r="LVK2" s="85"/>
      <c r="LVL2" s="85"/>
      <c r="LVM2" s="85"/>
      <c r="LVN2" s="85"/>
      <c r="LVO2" s="85"/>
      <c r="LVP2" s="85"/>
      <c r="LVQ2" s="85"/>
      <c r="LVR2" s="85"/>
      <c r="LVS2" s="85"/>
      <c r="LVT2" s="85"/>
      <c r="LVU2" s="85"/>
      <c r="LVV2" s="85"/>
      <c r="LVW2" s="85"/>
      <c r="LVX2" s="85"/>
      <c r="LVY2" s="85"/>
      <c r="LVZ2" s="85"/>
      <c r="LWA2" s="85"/>
      <c r="LWB2" s="85"/>
      <c r="LWC2" s="85"/>
      <c r="LWD2" s="85"/>
      <c r="LWE2" s="85"/>
      <c r="LWF2" s="85"/>
      <c r="LWG2" s="85"/>
      <c r="LWH2" s="85"/>
      <c r="LWI2" s="85"/>
      <c r="LWJ2" s="85"/>
      <c r="LWK2" s="85"/>
      <c r="LWL2" s="85"/>
      <c r="LWM2" s="85"/>
      <c r="LWN2" s="85"/>
      <c r="LWO2" s="85"/>
      <c r="LWP2" s="85"/>
      <c r="LWQ2" s="85"/>
      <c r="LWR2" s="85"/>
      <c r="LWS2" s="85"/>
      <c r="LWT2" s="85"/>
      <c r="LWU2" s="85"/>
      <c r="LWV2" s="85"/>
      <c r="LWW2" s="85"/>
      <c r="LWX2" s="85"/>
      <c r="LWY2" s="85"/>
      <c r="LWZ2" s="85"/>
      <c r="LXA2" s="85"/>
      <c r="LXB2" s="85"/>
      <c r="LXC2" s="85"/>
      <c r="LXD2" s="85"/>
      <c r="LXE2" s="85"/>
      <c r="LXF2" s="85"/>
      <c r="LXG2" s="85"/>
      <c r="LXH2" s="85"/>
      <c r="LXI2" s="85"/>
      <c r="LXJ2" s="85"/>
      <c r="LXK2" s="85"/>
      <c r="LXL2" s="85"/>
      <c r="LXM2" s="85"/>
      <c r="LXN2" s="85"/>
      <c r="LXO2" s="85"/>
      <c r="LXP2" s="85"/>
      <c r="LXQ2" s="85"/>
      <c r="LXR2" s="85"/>
      <c r="LXS2" s="85"/>
      <c r="LXT2" s="85"/>
      <c r="LXU2" s="85"/>
      <c r="LXV2" s="85"/>
      <c r="LXW2" s="85"/>
      <c r="LXX2" s="85"/>
      <c r="LXY2" s="85"/>
      <c r="LXZ2" s="85"/>
      <c r="LYA2" s="85"/>
      <c r="LYB2" s="85"/>
      <c r="LYC2" s="85"/>
      <c r="LYD2" s="85"/>
      <c r="LYE2" s="85"/>
      <c r="LYF2" s="85"/>
      <c r="LYG2" s="85"/>
      <c r="LYH2" s="85"/>
      <c r="LYI2" s="85"/>
      <c r="LYJ2" s="85"/>
      <c r="LYK2" s="85"/>
      <c r="LYL2" s="85"/>
      <c r="LYM2" s="85"/>
      <c r="LYN2" s="85"/>
      <c r="LYO2" s="85"/>
      <c r="LYP2" s="85"/>
      <c r="LYQ2" s="85"/>
      <c r="LYR2" s="85"/>
      <c r="LYS2" s="85"/>
      <c r="LYT2" s="85"/>
      <c r="LYU2" s="85"/>
      <c r="LYV2" s="85"/>
      <c r="LYW2" s="85"/>
      <c r="LYX2" s="85"/>
      <c r="LYY2" s="85"/>
      <c r="LYZ2" s="85"/>
      <c r="LZA2" s="85"/>
      <c r="LZB2" s="85"/>
      <c r="LZC2" s="85"/>
      <c r="LZD2" s="85"/>
      <c r="LZE2" s="85"/>
      <c r="LZF2" s="85"/>
      <c r="LZG2" s="85"/>
      <c r="LZH2" s="85"/>
      <c r="LZI2" s="85"/>
      <c r="LZJ2" s="85"/>
      <c r="LZK2" s="85"/>
      <c r="LZL2" s="85"/>
      <c r="LZM2" s="85"/>
      <c r="LZN2" s="85"/>
      <c r="LZO2" s="85"/>
      <c r="LZP2" s="85"/>
      <c r="LZQ2" s="85"/>
      <c r="LZR2" s="85"/>
      <c r="LZS2" s="85"/>
      <c r="LZT2" s="85"/>
      <c r="LZU2" s="85"/>
      <c r="LZV2" s="85"/>
      <c r="LZW2" s="85"/>
      <c r="LZX2" s="85"/>
      <c r="LZY2" s="85"/>
      <c r="LZZ2" s="85"/>
      <c r="MAA2" s="85"/>
      <c r="MAB2" s="85"/>
      <c r="MAC2" s="85"/>
      <c r="MAD2" s="85"/>
      <c r="MAE2" s="85"/>
      <c r="MAF2" s="85"/>
      <c r="MAG2" s="85"/>
      <c r="MAH2" s="85"/>
      <c r="MAI2" s="85"/>
      <c r="MAJ2" s="85"/>
      <c r="MAK2" s="85"/>
      <c r="MAL2" s="85"/>
      <c r="MAM2" s="85"/>
      <c r="MAN2" s="85"/>
      <c r="MAO2" s="85"/>
      <c r="MAP2" s="85"/>
      <c r="MAQ2" s="85"/>
      <c r="MAR2" s="85"/>
      <c r="MAS2" s="85"/>
      <c r="MAT2" s="85"/>
      <c r="MAU2" s="85"/>
      <c r="MAV2" s="85"/>
      <c r="MAW2" s="85"/>
      <c r="MAX2" s="85"/>
      <c r="MAY2" s="85"/>
      <c r="MAZ2" s="85"/>
      <c r="MBA2" s="85"/>
      <c r="MBB2" s="85"/>
      <c r="MBC2" s="85"/>
      <c r="MBD2" s="85"/>
      <c r="MBE2" s="85"/>
      <c r="MBF2" s="85"/>
      <c r="MBG2" s="85"/>
      <c r="MBH2" s="85"/>
      <c r="MBI2" s="85"/>
      <c r="MBJ2" s="85"/>
      <c r="MBK2" s="85"/>
      <c r="MBL2" s="85"/>
      <c r="MBM2" s="85"/>
      <c r="MBN2" s="85"/>
      <c r="MBO2" s="85"/>
      <c r="MBP2" s="85"/>
      <c r="MBQ2" s="85"/>
      <c r="MBR2" s="85"/>
      <c r="MBS2" s="85"/>
      <c r="MBT2" s="85"/>
      <c r="MBU2" s="85"/>
      <c r="MBV2" s="85"/>
      <c r="MBW2" s="85"/>
      <c r="MBX2" s="85"/>
      <c r="MBY2" s="85"/>
      <c r="MBZ2" s="85"/>
      <c r="MCA2" s="85"/>
      <c r="MCB2" s="85"/>
      <c r="MCC2" s="85"/>
      <c r="MCD2" s="85"/>
      <c r="MCE2" s="85"/>
      <c r="MCF2" s="85"/>
      <c r="MCG2" s="85"/>
      <c r="MCH2" s="85"/>
      <c r="MCI2" s="85"/>
      <c r="MCJ2" s="85"/>
      <c r="MCK2" s="85"/>
      <c r="MCL2" s="85"/>
      <c r="MCM2" s="85"/>
      <c r="MCN2" s="85"/>
      <c r="MCO2" s="85"/>
      <c r="MCP2" s="85"/>
      <c r="MCQ2" s="85"/>
      <c r="MCR2" s="85"/>
      <c r="MCS2" s="85"/>
      <c r="MCT2" s="85"/>
      <c r="MCU2" s="85"/>
      <c r="MCV2" s="85"/>
      <c r="MCW2" s="85"/>
      <c r="MCX2" s="85"/>
      <c r="MCY2" s="85"/>
      <c r="MCZ2" s="85"/>
      <c r="MDA2" s="85"/>
      <c r="MDB2" s="85"/>
      <c r="MDC2" s="85"/>
      <c r="MDD2" s="85"/>
      <c r="MDE2" s="85"/>
      <c r="MDF2" s="85"/>
      <c r="MDG2" s="85"/>
      <c r="MDH2" s="85"/>
      <c r="MDI2" s="85"/>
      <c r="MDJ2" s="85"/>
      <c r="MDK2" s="85"/>
      <c r="MDL2" s="85"/>
      <c r="MDM2" s="85"/>
      <c r="MDN2" s="85"/>
      <c r="MDO2" s="85"/>
      <c r="MDP2" s="85"/>
      <c r="MDQ2" s="85"/>
      <c r="MDR2" s="85"/>
      <c r="MDS2" s="85"/>
      <c r="MDT2" s="85"/>
      <c r="MDU2" s="85"/>
      <c r="MDV2" s="85"/>
      <c r="MDW2" s="85"/>
      <c r="MDX2" s="85"/>
      <c r="MDY2" s="85"/>
      <c r="MDZ2" s="85"/>
      <c r="MEA2" s="85"/>
      <c r="MEB2" s="85"/>
      <c r="MEC2" s="85"/>
      <c r="MED2" s="85"/>
      <c r="MEE2" s="85"/>
      <c r="MEF2" s="85"/>
      <c r="MEG2" s="85"/>
      <c r="MEH2" s="85"/>
      <c r="MEI2" s="85"/>
      <c r="MEJ2" s="85"/>
      <c r="MEK2" s="85"/>
      <c r="MEL2" s="85"/>
      <c r="MEM2" s="85"/>
      <c r="MEN2" s="85"/>
      <c r="MEO2" s="85"/>
      <c r="MEP2" s="85"/>
      <c r="MEQ2" s="85"/>
      <c r="MER2" s="85"/>
      <c r="MES2" s="85"/>
      <c r="MET2" s="85"/>
      <c r="MEU2" s="85"/>
      <c r="MEV2" s="85"/>
      <c r="MEW2" s="85"/>
      <c r="MEX2" s="85"/>
      <c r="MEY2" s="85"/>
      <c r="MEZ2" s="85"/>
      <c r="MFA2" s="85"/>
      <c r="MFB2" s="85"/>
      <c r="MFC2" s="85"/>
      <c r="MFD2" s="85"/>
      <c r="MFE2" s="85"/>
      <c r="MFF2" s="85"/>
      <c r="MFG2" s="85"/>
      <c r="MFH2" s="85"/>
      <c r="MFI2" s="85"/>
      <c r="MFJ2" s="85"/>
      <c r="MFK2" s="85"/>
      <c r="MFL2" s="85"/>
      <c r="MFM2" s="85"/>
      <c r="MFN2" s="85"/>
      <c r="MFO2" s="85"/>
      <c r="MFP2" s="85"/>
      <c r="MFQ2" s="85"/>
      <c r="MFR2" s="85"/>
      <c r="MFS2" s="85"/>
      <c r="MFT2" s="85"/>
      <c r="MFU2" s="85"/>
      <c r="MFV2" s="85"/>
      <c r="MFW2" s="85"/>
      <c r="MFX2" s="85"/>
      <c r="MFY2" s="85"/>
      <c r="MFZ2" s="85"/>
      <c r="MGA2" s="85"/>
      <c r="MGB2" s="85"/>
      <c r="MGC2" s="85"/>
      <c r="MGD2" s="85"/>
      <c r="MGE2" s="85"/>
      <c r="MGF2" s="85"/>
      <c r="MGG2" s="85"/>
      <c r="MGH2" s="85"/>
      <c r="MGI2" s="85"/>
      <c r="MGJ2" s="85"/>
      <c r="MGK2" s="85"/>
      <c r="MGL2" s="85"/>
      <c r="MGM2" s="85"/>
      <c r="MGN2" s="85"/>
      <c r="MGO2" s="85"/>
      <c r="MGP2" s="85"/>
      <c r="MGQ2" s="85"/>
      <c r="MGR2" s="85"/>
      <c r="MGS2" s="85"/>
      <c r="MGT2" s="85"/>
      <c r="MGU2" s="85"/>
      <c r="MGV2" s="85"/>
      <c r="MGW2" s="85"/>
      <c r="MGX2" s="85"/>
      <c r="MGY2" s="85"/>
      <c r="MGZ2" s="85"/>
      <c r="MHA2" s="85"/>
      <c r="MHB2" s="85"/>
      <c r="MHC2" s="85"/>
      <c r="MHD2" s="85"/>
      <c r="MHE2" s="85"/>
      <c r="MHF2" s="85"/>
      <c r="MHG2" s="85"/>
      <c r="MHH2" s="85"/>
      <c r="MHI2" s="85"/>
      <c r="MHJ2" s="85"/>
      <c r="MHK2" s="85"/>
      <c r="MHL2" s="85"/>
      <c r="MHM2" s="85"/>
      <c r="MHN2" s="85"/>
      <c r="MHO2" s="85"/>
      <c r="MHP2" s="85"/>
      <c r="MHQ2" s="85"/>
      <c r="MHR2" s="85"/>
      <c r="MHS2" s="85"/>
      <c r="MHT2" s="85"/>
      <c r="MHU2" s="85"/>
      <c r="MHV2" s="85"/>
      <c r="MHW2" s="85"/>
      <c r="MHX2" s="85"/>
      <c r="MHY2" s="85"/>
      <c r="MHZ2" s="85"/>
      <c r="MIA2" s="85"/>
      <c r="MIB2" s="85"/>
      <c r="MIC2" s="85"/>
      <c r="MID2" s="85"/>
      <c r="MIE2" s="85"/>
      <c r="MIF2" s="85"/>
      <c r="MIG2" s="85"/>
      <c r="MIH2" s="85"/>
      <c r="MII2" s="85"/>
      <c r="MIJ2" s="85"/>
      <c r="MIK2" s="85"/>
      <c r="MIL2" s="85"/>
      <c r="MIM2" s="85"/>
      <c r="MIN2" s="85"/>
      <c r="MIO2" s="85"/>
      <c r="MIP2" s="85"/>
      <c r="MIQ2" s="85"/>
      <c r="MIR2" s="85"/>
      <c r="MIS2" s="85"/>
      <c r="MIT2" s="85"/>
      <c r="MIU2" s="85"/>
      <c r="MIV2" s="85"/>
      <c r="MIW2" s="85"/>
      <c r="MIX2" s="85"/>
      <c r="MIY2" s="85"/>
      <c r="MIZ2" s="85"/>
      <c r="MJA2" s="85"/>
      <c r="MJB2" s="85"/>
      <c r="MJC2" s="85"/>
      <c r="MJD2" s="85"/>
      <c r="MJE2" s="85"/>
      <c r="MJF2" s="85"/>
      <c r="MJG2" s="85"/>
      <c r="MJH2" s="85"/>
      <c r="MJI2" s="85"/>
      <c r="MJJ2" s="85"/>
      <c r="MJK2" s="85"/>
      <c r="MJL2" s="85"/>
      <c r="MJM2" s="85"/>
      <c r="MJN2" s="85"/>
      <c r="MJO2" s="85"/>
      <c r="MJP2" s="85"/>
      <c r="MJQ2" s="85"/>
      <c r="MJR2" s="85"/>
      <c r="MJS2" s="85"/>
      <c r="MJT2" s="85"/>
      <c r="MJU2" s="85"/>
      <c r="MJV2" s="85"/>
      <c r="MJW2" s="85"/>
      <c r="MJX2" s="85"/>
      <c r="MJY2" s="85"/>
      <c r="MJZ2" s="85"/>
      <c r="MKA2" s="85"/>
      <c r="MKB2" s="85"/>
      <c r="MKC2" s="85"/>
      <c r="MKD2" s="85"/>
      <c r="MKE2" s="85"/>
      <c r="MKF2" s="85"/>
      <c r="MKG2" s="85"/>
      <c r="MKH2" s="85"/>
      <c r="MKI2" s="85"/>
      <c r="MKJ2" s="85"/>
      <c r="MKK2" s="85"/>
      <c r="MKL2" s="85"/>
      <c r="MKM2" s="85"/>
      <c r="MKN2" s="85"/>
      <c r="MKO2" s="85"/>
      <c r="MKP2" s="85"/>
      <c r="MKQ2" s="85"/>
      <c r="MKR2" s="85"/>
      <c r="MKS2" s="85"/>
      <c r="MKT2" s="85"/>
      <c r="MKU2" s="85"/>
      <c r="MKV2" s="85"/>
      <c r="MKW2" s="85"/>
      <c r="MKX2" s="85"/>
      <c r="MKY2" s="85"/>
      <c r="MKZ2" s="85"/>
      <c r="MLA2" s="85"/>
      <c r="MLB2" s="85"/>
      <c r="MLC2" s="85"/>
      <c r="MLD2" s="85"/>
      <c r="MLE2" s="85"/>
      <c r="MLF2" s="85"/>
      <c r="MLG2" s="85"/>
      <c r="MLH2" s="85"/>
      <c r="MLI2" s="85"/>
      <c r="MLJ2" s="85"/>
      <c r="MLK2" s="85"/>
      <c r="MLL2" s="85"/>
      <c r="MLM2" s="85"/>
      <c r="MLN2" s="85"/>
      <c r="MLO2" s="85"/>
      <c r="MLP2" s="85"/>
      <c r="MLQ2" s="85"/>
      <c r="MLR2" s="85"/>
      <c r="MLS2" s="85"/>
      <c r="MLT2" s="85"/>
      <c r="MLU2" s="85"/>
      <c r="MLV2" s="85"/>
      <c r="MLW2" s="85"/>
      <c r="MLX2" s="85"/>
      <c r="MLY2" s="85"/>
      <c r="MLZ2" s="85"/>
      <c r="MMA2" s="85"/>
      <c r="MMB2" s="85"/>
      <c r="MMC2" s="85"/>
      <c r="MMD2" s="85"/>
      <c r="MME2" s="85"/>
      <c r="MMF2" s="85"/>
      <c r="MMG2" s="85"/>
      <c r="MMH2" s="85"/>
      <c r="MMI2" s="85"/>
      <c r="MMJ2" s="85"/>
      <c r="MMK2" s="85"/>
      <c r="MML2" s="85"/>
      <c r="MMM2" s="85"/>
      <c r="MMN2" s="85"/>
      <c r="MMO2" s="85"/>
      <c r="MMP2" s="85"/>
      <c r="MMQ2" s="85"/>
      <c r="MMR2" s="85"/>
      <c r="MMS2" s="85"/>
      <c r="MMT2" s="85"/>
      <c r="MMU2" s="85"/>
      <c r="MMV2" s="85"/>
      <c r="MMW2" s="85"/>
      <c r="MMX2" s="85"/>
      <c r="MMY2" s="85"/>
      <c r="MMZ2" s="85"/>
      <c r="MNA2" s="85"/>
      <c r="MNB2" s="85"/>
      <c r="MNC2" s="85"/>
      <c r="MND2" s="85"/>
      <c r="MNE2" s="85"/>
      <c r="MNF2" s="85"/>
      <c r="MNG2" s="85"/>
      <c r="MNH2" s="85"/>
      <c r="MNI2" s="85"/>
      <c r="MNJ2" s="85"/>
      <c r="MNK2" s="85"/>
      <c r="MNL2" s="85"/>
      <c r="MNM2" s="85"/>
      <c r="MNN2" s="85"/>
      <c r="MNO2" s="85"/>
      <c r="MNP2" s="85"/>
      <c r="MNQ2" s="85"/>
      <c r="MNR2" s="85"/>
      <c r="MNS2" s="85"/>
      <c r="MNT2" s="85"/>
      <c r="MNU2" s="85"/>
      <c r="MNV2" s="85"/>
      <c r="MNW2" s="85"/>
      <c r="MNX2" s="85"/>
      <c r="MNY2" s="85"/>
      <c r="MNZ2" s="85"/>
      <c r="MOA2" s="85"/>
      <c r="MOB2" s="85"/>
      <c r="MOC2" s="85"/>
      <c r="MOD2" s="85"/>
      <c r="MOE2" s="85"/>
      <c r="MOF2" s="85"/>
      <c r="MOG2" s="85"/>
      <c r="MOH2" s="85"/>
      <c r="MOI2" s="85"/>
      <c r="MOJ2" s="85"/>
      <c r="MOK2" s="85"/>
      <c r="MOL2" s="85"/>
      <c r="MOM2" s="85"/>
      <c r="MON2" s="85"/>
      <c r="MOO2" s="85"/>
      <c r="MOP2" s="85"/>
      <c r="MOQ2" s="85"/>
      <c r="MOR2" s="85"/>
      <c r="MOS2" s="85"/>
      <c r="MOT2" s="85"/>
      <c r="MOU2" s="85"/>
      <c r="MOV2" s="85"/>
      <c r="MOW2" s="85"/>
      <c r="MOX2" s="85"/>
      <c r="MOY2" s="85"/>
      <c r="MOZ2" s="85"/>
      <c r="MPA2" s="85"/>
      <c r="MPB2" s="85"/>
      <c r="MPC2" s="85"/>
      <c r="MPD2" s="85"/>
      <c r="MPE2" s="85"/>
      <c r="MPF2" s="85"/>
      <c r="MPG2" s="85"/>
      <c r="MPH2" s="85"/>
      <c r="MPI2" s="85"/>
      <c r="MPJ2" s="85"/>
      <c r="MPK2" s="85"/>
      <c r="MPL2" s="85"/>
      <c r="MPM2" s="85"/>
      <c r="MPN2" s="85"/>
      <c r="MPO2" s="85"/>
      <c r="MPP2" s="85"/>
      <c r="MPQ2" s="85"/>
      <c r="MPR2" s="85"/>
      <c r="MPS2" s="85"/>
      <c r="MPT2" s="85"/>
      <c r="MPU2" s="85"/>
      <c r="MPV2" s="85"/>
      <c r="MPW2" s="85"/>
      <c r="MPX2" s="85"/>
      <c r="MPY2" s="85"/>
      <c r="MPZ2" s="85"/>
      <c r="MQA2" s="85"/>
      <c r="MQB2" s="85"/>
      <c r="MQC2" s="85"/>
      <c r="MQD2" s="85"/>
      <c r="MQE2" s="85"/>
      <c r="MQF2" s="85"/>
      <c r="MQG2" s="85"/>
      <c r="MQH2" s="85"/>
      <c r="MQI2" s="85"/>
      <c r="MQJ2" s="85"/>
      <c r="MQK2" s="85"/>
      <c r="MQL2" s="85"/>
      <c r="MQM2" s="85"/>
      <c r="MQN2" s="85"/>
      <c r="MQO2" s="85"/>
      <c r="MQP2" s="85"/>
      <c r="MQQ2" s="85"/>
      <c r="MQR2" s="85"/>
      <c r="MQS2" s="85"/>
      <c r="MQT2" s="85"/>
      <c r="MQU2" s="85"/>
      <c r="MQV2" s="85"/>
      <c r="MQW2" s="85"/>
      <c r="MQX2" s="85"/>
      <c r="MQY2" s="85"/>
      <c r="MQZ2" s="85"/>
      <c r="MRA2" s="85"/>
      <c r="MRB2" s="85"/>
      <c r="MRC2" s="85"/>
      <c r="MRD2" s="85"/>
      <c r="MRE2" s="85"/>
      <c r="MRF2" s="85"/>
      <c r="MRG2" s="85"/>
      <c r="MRH2" s="85"/>
      <c r="MRI2" s="85"/>
      <c r="MRJ2" s="85"/>
      <c r="MRK2" s="85"/>
      <c r="MRL2" s="85"/>
      <c r="MRM2" s="85"/>
      <c r="MRN2" s="85"/>
      <c r="MRO2" s="85"/>
      <c r="MRP2" s="85"/>
      <c r="MRQ2" s="85"/>
      <c r="MRR2" s="85"/>
      <c r="MRS2" s="85"/>
      <c r="MRT2" s="85"/>
      <c r="MRU2" s="85"/>
      <c r="MRV2" s="85"/>
      <c r="MRW2" s="85"/>
      <c r="MRX2" s="85"/>
      <c r="MRY2" s="85"/>
      <c r="MRZ2" s="85"/>
      <c r="MSA2" s="85"/>
      <c r="MSB2" s="85"/>
      <c r="MSC2" s="85"/>
      <c r="MSD2" s="85"/>
      <c r="MSE2" s="85"/>
      <c r="MSF2" s="85"/>
      <c r="MSG2" s="85"/>
      <c r="MSH2" s="85"/>
      <c r="MSI2" s="85"/>
      <c r="MSJ2" s="85"/>
      <c r="MSK2" s="85"/>
      <c r="MSL2" s="85"/>
      <c r="MSM2" s="85"/>
      <c r="MSN2" s="85"/>
      <c r="MSO2" s="85"/>
      <c r="MSP2" s="85"/>
      <c r="MSQ2" s="85"/>
      <c r="MSR2" s="85"/>
      <c r="MSS2" s="85"/>
      <c r="MST2" s="85"/>
      <c r="MSU2" s="85"/>
      <c r="MSV2" s="85"/>
      <c r="MSW2" s="85"/>
      <c r="MSX2" s="85"/>
      <c r="MSY2" s="85"/>
      <c r="MSZ2" s="85"/>
      <c r="MTA2" s="85"/>
      <c r="MTB2" s="85"/>
      <c r="MTC2" s="85"/>
      <c r="MTD2" s="85"/>
      <c r="MTE2" s="85"/>
      <c r="MTF2" s="85"/>
      <c r="MTG2" s="85"/>
      <c r="MTH2" s="85"/>
      <c r="MTI2" s="85"/>
      <c r="MTJ2" s="85"/>
      <c r="MTK2" s="85"/>
      <c r="MTL2" s="85"/>
      <c r="MTM2" s="85"/>
      <c r="MTN2" s="85"/>
      <c r="MTO2" s="85"/>
      <c r="MTP2" s="85"/>
      <c r="MTQ2" s="85"/>
      <c r="MTR2" s="85"/>
      <c r="MTS2" s="85"/>
      <c r="MTT2" s="85"/>
      <c r="MTU2" s="85"/>
      <c r="MTV2" s="85"/>
      <c r="MTW2" s="85"/>
      <c r="MTX2" s="85"/>
      <c r="MTY2" s="85"/>
      <c r="MTZ2" s="85"/>
      <c r="MUA2" s="85"/>
      <c r="MUB2" s="85"/>
      <c r="MUC2" s="85"/>
      <c r="MUD2" s="85"/>
      <c r="MUE2" s="85"/>
      <c r="MUF2" s="85"/>
      <c r="MUG2" s="85"/>
      <c r="MUH2" s="85"/>
      <c r="MUI2" s="85"/>
      <c r="MUJ2" s="85"/>
      <c r="MUK2" s="85"/>
      <c r="MUL2" s="85"/>
      <c r="MUM2" s="85"/>
      <c r="MUN2" s="85"/>
      <c r="MUO2" s="85"/>
      <c r="MUP2" s="85"/>
      <c r="MUQ2" s="85"/>
      <c r="MUR2" s="85"/>
      <c r="MUS2" s="85"/>
      <c r="MUT2" s="85"/>
      <c r="MUU2" s="85"/>
      <c r="MUV2" s="85"/>
      <c r="MUW2" s="85"/>
      <c r="MUX2" s="85"/>
      <c r="MUY2" s="85"/>
      <c r="MUZ2" s="85"/>
      <c r="MVA2" s="85"/>
      <c r="MVB2" s="85"/>
      <c r="MVC2" s="85"/>
      <c r="MVD2" s="85"/>
      <c r="MVE2" s="85"/>
      <c r="MVF2" s="85"/>
      <c r="MVG2" s="85"/>
      <c r="MVH2" s="85"/>
      <c r="MVI2" s="85"/>
      <c r="MVJ2" s="85"/>
      <c r="MVK2" s="85"/>
      <c r="MVL2" s="85"/>
      <c r="MVM2" s="85"/>
      <c r="MVN2" s="85"/>
      <c r="MVO2" s="85"/>
      <c r="MVP2" s="85"/>
      <c r="MVQ2" s="85"/>
      <c r="MVR2" s="85"/>
      <c r="MVS2" s="85"/>
      <c r="MVT2" s="85"/>
      <c r="MVU2" s="85"/>
      <c r="MVV2" s="85"/>
      <c r="MVW2" s="85"/>
      <c r="MVX2" s="85"/>
      <c r="MVY2" s="85"/>
      <c r="MVZ2" s="85"/>
      <c r="MWA2" s="85"/>
      <c r="MWB2" s="85"/>
      <c r="MWC2" s="85"/>
      <c r="MWD2" s="85"/>
      <c r="MWE2" s="85"/>
      <c r="MWF2" s="85"/>
      <c r="MWG2" s="85"/>
      <c r="MWH2" s="85"/>
      <c r="MWI2" s="85"/>
      <c r="MWJ2" s="85"/>
      <c r="MWK2" s="85"/>
      <c r="MWL2" s="85"/>
      <c r="MWM2" s="85"/>
      <c r="MWN2" s="85"/>
      <c r="MWO2" s="85"/>
      <c r="MWP2" s="85"/>
      <c r="MWQ2" s="85"/>
      <c r="MWR2" s="85"/>
      <c r="MWS2" s="85"/>
      <c r="MWT2" s="85"/>
      <c r="MWU2" s="85"/>
      <c r="MWV2" s="85"/>
      <c r="MWW2" s="85"/>
      <c r="MWX2" s="85"/>
      <c r="MWY2" s="85"/>
      <c r="MWZ2" s="85"/>
      <c r="MXA2" s="85"/>
      <c r="MXB2" s="85"/>
      <c r="MXC2" s="85"/>
      <c r="MXD2" s="85"/>
      <c r="MXE2" s="85"/>
      <c r="MXF2" s="85"/>
      <c r="MXG2" s="85"/>
      <c r="MXH2" s="85"/>
      <c r="MXI2" s="85"/>
      <c r="MXJ2" s="85"/>
      <c r="MXK2" s="85"/>
      <c r="MXL2" s="85"/>
      <c r="MXM2" s="85"/>
      <c r="MXN2" s="85"/>
      <c r="MXO2" s="85"/>
      <c r="MXP2" s="85"/>
      <c r="MXQ2" s="85"/>
      <c r="MXR2" s="85"/>
      <c r="MXS2" s="85"/>
      <c r="MXT2" s="85"/>
      <c r="MXU2" s="85"/>
      <c r="MXV2" s="85"/>
      <c r="MXW2" s="85"/>
      <c r="MXX2" s="85"/>
      <c r="MXY2" s="85"/>
      <c r="MXZ2" s="85"/>
      <c r="MYA2" s="85"/>
      <c r="MYB2" s="85"/>
      <c r="MYC2" s="85"/>
      <c r="MYD2" s="85"/>
      <c r="MYE2" s="85"/>
      <c r="MYF2" s="85"/>
      <c r="MYG2" s="85"/>
      <c r="MYH2" s="85"/>
      <c r="MYI2" s="85"/>
      <c r="MYJ2" s="85"/>
      <c r="MYK2" s="85"/>
      <c r="MYL2" s="85"/>
      <c r="MYM2" s="85"/>
      <c r="MYN2" s="85"/>
      <c r="MYO2" s="85"/>
      <c r="MYP2" s="85"/>
      <c r="MYQ2" s="85"/>
      <c r="MYR2" s="85"/>
      <c r="MYS2" s="85"/>
      <c r="MYT2" s="85"/>
      <c r="MYU2" s="85"/>
      <c r="MYV2" s="85"/>
      <c r="MYW2" s="85"/>
      <c r="MYX2" s="85"/>
      <c r="MYY2" s="85"/>
      <c r="MYZ2" s="85"/>
      <c r="MZA2" s="85"/>
      <c r="MZB2" s="85"/>
      <c r="MZC2" s="85"/>
      <c r="MZD2" s="85"/>
      <c r="MZE2" s="85"/>
      <c r="MZF2" s="85"/>
      <c r="MZG2" s="85"/>
      <c r="MZH2" s="85"/>
      <c r="MZI2" s="85"/>
      <c r="MZJ2" s="85"/>
      <c r="MZK2" s="85"/>
      <c r="MZL2" s="85"/>
      <c r="MZM2" s="85"/>
      <c r="MZN2" s="85"/>
      <c r="MZO2" s="85"/>
      <c r="MZP2" s="85"/>
      <c r="MZQ2" s="85"/>
      <c r="MZR2" s="85"/>
      <c r="MZS2" s="85"/>
      <c r="MZT2" s="85"/>
      <c r="MZU2" s="85"/>
      <c r="MZV2" s="85"/>
      <c r="MZW2" s="85"/>
      <c r="MZX2" s="85"/>
      <c r="MZY2" s="85"/>
      <c r="MZZ2" s="85"/>
      <c r="NAA2" s="85"/>
      <c r="NAB2" s="85"/>
      <c r="NAC2" s="85"/>
      <c r="NAD2" s="85"/>
      <c r="NAE2" s="85"/>
      <c r="NAF2" s="85"/>
      <c r="NAG2" s="85"/>
      <c r="NAH2" s="85"/>
      <c r="NAI2" s="85"/>
      <c r="NAJ2" s="85"/>
      <c r="NAK2" s="85"/>
      <c r="NAL2" s="85"/>
      <c r="NAM2" s="85"/>
      <c r="NAN2" s="85"/>
      <c r="NAO2" s="85"/>
      <c r="NAP2" s="85"/>
      <c r="NAQ2" s="85"/>
      <c r="NAR2" s="85"/>
      <c r="NAS2" s="85"/>
      <c r="NAT2" s="85"/>
      <c r="NAU2" s="85"/>
      <c r="NAV2" s="85"/>
      <c r="NAW2" s="85"/>
      <c r="NAX2" s="85"/>
      <c r="NAY2" s="85"/>
      <c r="NAZ2" s="85"/>
      <c r="NBA2" s="85"/>
      <c r="NBB2" s="85"/>
      <c r="NBC2" s="85"/>
      <c r="NBD2" s="85"/>
      <c r="NBE2" s="85"/>
      <c r="NBF2" s="85"/>
      <c r="NBG2" s="85"/>
      <c r="NBH2" s="85"/>
      <c r="NBI2" s="85"/>
      <c r="NBJ2" s="85"/>
      <c r="NBK2" s="85"/>
      <c r="NBL2" s="85"/>
      <c r="NBM2" s="85"/>
      <c r="NBN2" s="85"/>
      <c r="NBO2" s="85"/>
      <c r="NBP2" s="85"/>
      <c r="NBQ2" s="85"/>
      <c r="NBR2" s="85"/>
      <c r="NBS2" s="85"/>
      <c r="NBT2" s="85"/>
      <c r="NBU2" s="85"/>
      <c r="NBV2" s="85"/>
      <c r="NBW2" s="85"/>
      <c r="NBX2" s="85"/>
      <c r="NBY2" s="85"/>
      <c r="NBZ2" s="85"/>
      <c r="NCA2" s="85"/>
      <c r="NCB2" s="85"/>
      <c r="NCC2" s="85"/>
      <c r="NCD2" s="85"/>
      <c r="NCE2" s="85"/>
      <c r="NCF2" s="85"/>
      <c r="NCG2" s="85"/>
      <c r="NCH2" s="85"/>
      <c r="NCI2" s="85"/>
      <c r="NCJ2" s="85"/>
      <c r="NCK2" s="85"/>
      <c r="NCL2" s="85"/>
      <c r="NCM2" s="85"/>
      <c r="NCN2" s="85"/>
      <c r="NCO2" s="85"/>
      <c r="NCP2" s="85"/>
      <c r="NCQ2" s="85"/>
      <c r="NCR2" s="85"/>
      <c r="NCS2" s="85"/>
      <c r="NCT2" s="85"/>
      <c r="NCU2" s="85"/>
      <c r="NCV2" s="85"/>
      <c r="NCW2" s="85"/>
      <c r="NCX2" s="85"/>
      <c r="NCY2" s="85"/>
      <c r="NCZ2" s="85"/>
      <c r="NDA2" s="85"/>
      <c r="NDB2" s="85"/>
      <c r="NDC2" s="85"/>
      <c r="NDD2" s="85"/>
      <c r="NDE2" s="85"/>
      <c r="NDF2" s="85"/>
      <c r="NDG2" s="85"/>
      <c r="NDH2" s="85"/>
      <c r="NDI2" s="85"/>
      <c r="NDJ2" s="85"/>
      <c r="NDK2" s="85"/>
      <c r="NDL2" s="85"/>
      <c r="NDM2" s="85"/>
      <c r="NDN2" s="85"/>
      <c r="NDO2" s="85"/>
      <c r="NDP2" s="85"/>
      <c r="NDQ2" s="85"/>
      <c r="NDR2" s="85"/>
      <c r="NDS2" s="85"/>
      <c r="NDT2" s="85"/>
      <c r="NDU2" s="85"/>
      <c r="NDV2" s="85"/>
      <c r="NDW2" s="85"/>
      <c r="NDX2" s="85"/>
      <c r="NDY2" s="85"/>
      <c r="NDZ2" s="85"/>
      <c r="NEA2" s="85"/>
      <c r="NEB2" s="85"/>
      <c r="NEC2" s="85"/>
      <c r="NED2" s="85"/>
      <c r="NEE2" s="85"/>
      <c r="NEF2" s="85"/>
      <c r="NEG2" s="85"/>
      <c r="NEH2" s="85"/>
      <c r="NEI2" s="85"/>
      <c r="NEJ2" s="85"/>
      <c r="NEK2" s="85"/>
      <c r="NEL2" s="85"/>
      <c r="NEM2" s="85"/>
      <c r="NEN2" s="85"/>
      <c r="NEO2" s="85"/>
      <c r="NEP2" s="85"/>
      <c r="NEQ2" s="85"/>
      <c r="NER2" s="85"/>
      <c r="NES2" s="85"/>
      <c r="NET2" s="85"/>
      <c r="NEU2" s="85"/>
      <c r="NEV2" s="85"/>
      <c r="NEW2" s="85"/>
      <c r="NEX2" s="85"/>
      <c r="NEY2" s="85"/>
      <c r="NEZ2" s="85"/>
      <c r="NFA2" s="85"/>
      <c r="NFB2" s="85"/>
      <c r="NFC2" s="85"/>
      <c r="NFD2" s="85"/>
      <c r="NFE2" s="85"/>
      <c r="NFF2" s="85"/>
      <c r="NFG2" s="85"/>
      <c r="NFH2" s="85"/>
      <c r="NFI2" s="85"/>
      <c r="NFJ2" s="85"/>
      <c r="NFK2" s="85"/>
      <c r="NFL2" s="85"/>
      <c r="NFM2" s="85"/>
      <c r="NFN2" s="85"/>
      <c r="NFO2" s="85"/>
      <c r="NFP2" s="85"/>
      <c r="NFQ2" s="85"/>
      <c r="NFR2" s="85"/>
      <c r="NFS2" s="85"/>
      <c r="NFT2" s="85"/>
      <c r="NFU2" s="85"/>
      <c r="NFV2" s="85"/>
      <c r="NFW2" s="85"/>
      <c r="NFX2" s="85"/>
      <c r="NFY2" s="85"/>
      <c r="NFZ2" s="85"/>
      <c r="NGA2" s="85"/>
      <c r="NGB2" s="85"/>
      <c r="NGC2" s="85"/>
      <c r="NGD2" s="85"/>
      <c r="NGE2" s="85"/>
      <c r="NGF2" s="85"/>
      <c r="NGG2" s="85"/>
      <c r="NGH2" s="85"/>
      <c r="NGI2" s="85"/>
      <c r="NGJ2" s="85"/>
      <c r="NGK2" s="85"/>
      <c r="NGL2" s="85"/>
      <c r="NGM2" s="85"/>
      <c r="NGN2" s="85"/>
      <c r="NGO2" s="85"/>
      <c r="NGP2" s="85"/>
      <c r="NGQ2" s="85"/>
      <c r="NGR2" s="85"/>
      <c r="NGS2" s="85"/>
      <c r="NGT2" s="85"/>
      <c r="NGU2" s="85"/>
      <c r="NGV2" s="85"/>
      <c r="NGW2" s="85"/>
      <c r="NGX2" s="85"/>
      <c r="NGY2" s="85"/>
      <c r="NGZ2" s="85"/>
      <c r="NHA2" s="85"/>
      <c r="NHB2" s="85"/>
      <c r="NHC2" s="85"/>
      <c r="NHD2" s="85"/>
      <c r="NHE2" s="85"/>
      <c r="NHF2" s="85"/>
      <c r="NHG2" s="85"/>
      <c r="NHH2" s="85"/>
      <c r="NHI2" s="85"/>
      <c r="NHJ2" s="85"/>
      <c r="NHK2" s="85"/>
      <c r="NHL2" s="85"/>
      <c r="NHM2" s="85"/>
      <c r="NHN2" s="85"/>
      <c r="NHO2" s="85"/>
      <c r="NHP2" s="85"/>
      <c r="NHQ2" s="85"/>
      <c r="NHR2" s="85"/>
      <c r="NHS2" s="85"/>
      <c r="NHT2" s="85"/>
      <c r="NHU2" s="85"/>
      <c r="NHV2" s="85"/>
      <c r="NHW2" s="85"/>
      <c r="NHX2" s="85"/>
      <c r="NHY2" s="85"/>
      <c r="NHZ2" s="85"/>
      <c r="NIA2" s="85"/>
      <c r="NIB2" s="85"/>
      <c r="NIC2" s="85"/>
      <c r="NID2" s="85"/>
      <c r="NIE2" s="85"/>
      <c r="NIF2" s="85"/>
      <c r="NIG2" s="85"/>
      <c r="NIH2" s="85"/>
      <c r="NII2" s="85"/>
      <c r="NIJ2" s="85"/>
      <c r="NIK2" s="85"/>
      <c r="NIL2" s="85"/>
      <c r="NIM2" s="85"/>
      <c r="NIN2" s="85"/>
      <c r="NIO2" s="85"/>
      <c r="NIP2" s="85"/>
      <c r="NIQ2" s="85"/>
      <c r="NIR2" s="85"/>
      <c r="NIS2" s="85"/>
      <c r="NIT2" s="85"/>
      <c r="NIU2" s="85"/>
      <c r="NIV2" s="85"/>
      <c r="NIW2" s="85"/>
      <c r="NIX2" s="85"/>
      <c r="NIY2" s="85"/>
      <c r="NIZ2" s="85"/>
      <c r="NJA2" s="85"/>
      <c r="NJB2" s="85"/>
      <c r="NJC2" s="85"/>
      <c r="NJD2" s="85"/>
      <c r="NJE2" s="85"/>
      <c r="NJF2" s="85"/>
      <c r="NJG2" s="85"/>
      <c r="NJH2" s="85"/>
      <c r="NJI2" s="85"/>
      <c r="NJJ2" s="85"/>
      <c r="NJK2" s="85"/>
      <c r="NJL2" s="85"/>
      <c r="NJM2" s="85"/>
      <c r="NJN2" s="85"/>
      <c r="NJO2" s="85"/>
      <c r="NJP2" s="85"/>
      <c r="NJQ2" s="85"/>
      <c r="NJR2" s="85"/>
      <c r="NJS2" s="85"/>
      <c r="NJT2" s="85"/>
      <c r="NJU2" s="85"/>
      <c r="NJV2" s="85"/>
      <c r="NJW2" s="85"/>
      <c r="NJX2" s="85"/>
      <c r="NJY2" s="85"/>
      <c r="NJZ2" s="85"/>
      <c r="NKA2" s="85"/>
      <c r="NKB2" s="85"/>
      <c r="NKC2" s="85"/>
      <c r="NKD2" s="85"/>
      <c r="NKE2" s="85"/>
      <c r="NKF2" s="85"/>
      <c r="NKG2" s="85"/>
      <c r="NKH2" s="85"/>
      <c r="NKI2" s="85"/>
      <c r="NKJ2" s="85"/>
      <c r="NKK2" s="85"/>
      <c r="NKL2" s="85"/>
      <c r="NKM2" s="85"/>
      <c r="NKN2" s="85"/>
      <c r="NKO2" s="85"/>
      <c r="NKP2" s="85"/>
      <c r="NKQ2" s="85"/>
      <c r="NKR2" s="85"/>
      <c r="NKS2" s="85"/>
      <c r="NKT2" s="85"/>
      <c r="NKU2" s="85"/>
      <c r="NKV2" s="85"/>
      <c r="NKW2" s="85"/>
      <c r="NKX2" s="85"/>
      <c r="NKY2" s="85"/>
      <c r="NKZ2" s="85"/>
      <c r="NLA2" s="85"/>
      <c r="NLB2" s="85"/>
      <c r="NLC2" s="85"/>
      <c r="NLD2" s="85"/>
      <c r="NLE2" s="85"/>
      <c r="NLF2" s="85"/>
      <c r="NLG2" s="85"/>
      <c r="NLH2" s="85"/>
      <c r="NLI2" s="85"/>
      <c r="NLJ2" s="85"/>
      <c r="NLK2" s="85"/>
      <c r="NLL2" s="85"/>
      <c r="NLM2" s="85"/>
      <c r="NLN2" s="85"/>
      <c r="NLO2" s="85"/>
      <c r="NLP2" s="85"/>
      <c r="NLQ2" s="85"/>
      <c r="NLR2" s="85"/>
      <c r="NLS2" s="85"/>
      <c r="NLT2" s="85"/>
      <c r="NLU2" s="85"/>
      <c r="NLV2" s="85"/>
      <c r="NLW2" s="85"/>
      <c r="NLX2" s="85"/>
      <c r="NLY2" s="85"/>
      <c r="NLZ2" s="85"/>
      <c r="NMA2" s="85"/>
      <c r="NMB2" s="85"/>
      <c r="NMC2" s="85"/>
      <c r="NMD2" s="85"/>
      <c r="NME2" s="85"/>
      <c r="NMF2" s="85"/>
      <c r="NMG2" s="85"/>
      <c r="NMH2" s="85"/>
      <c r="NMI2" s="85"/>
      <c r="NMJ2" s="85"/>
      <c r="NMK2" s="85"/>
      <c r="NML2" s="85"/>
      <c r="NMM2" s="85"/>
      <c r="NMN2" s="85"/>
      <c r="NMO2" s="85"/>
      <c r="NMP2" s="85"/>
      <c r="NMQ2" s="85"/>
      <c r="NMR2" s="85"/>
      <c r="NMS2" s="85"/>
      <c r="NMT2" s="85"/>
      <c r="NMU2" s="85"/>
      <c r="NMV2" s="85"/>
      <c r="NMW2" s="85"/>
      <c r="NMX2" s="85"/>
      <c r="NMY2" s="85"/>
      <c r="NMZ2" s="85"/>
      <c r="NNA2" s="85"/>
      <c r="NNB2" s="85"/>
      <c r="NNC2" s="85"/>
      <c r="NND2" s="85"/>
      <c r="NNE2" s="85"/>
      <c r="NNF2" s="85"/>
      <c r="NNG2" s="85"/>
      <c r="NNH2" s="85"/>
      <c r="NNI2" s="85"/>
      <c r="NNJ2" s="85"/>
      <c r="NNK2" s="85"/>
      <c r="NNL2" s="85"/>
      <c r="NNM2" s="85"/>
      <c r="NNN2" s="85"/>
      <c r="NNO2" s="85"/>
      <c r="NNP2" s="85"/>
      <c r="NNQ2" s="85"/>
      <c r="NNR2" s="85"/>
      <c r="NNS2" s="85"/>
      <c r="NNT2" s="85"/>
      <c r="NNU2" s="85"/>
      <c r="NNV2" s="85"/>
      <c r="NNW2" s="85"/>
      <c r="NNX2" s="85"/>
      <c r="NNY2" s="85"/>
      <c r="NNZ2" s="85"/>
      <c r="NOA2" s="85"/>
      <c r="NOB2" s="85"/>
      <c r="NOC2" s="85"/>
      <c r="NOD2" s="85"/>
      <c r="NOE2" s="85"/>
      <c r="NOF2" s="85"/>
      <c r="NOG2" s="85"/>
      <c r="NOH2" s="85"/>
      <c r="NOI2" s="85"/>
      <c r="NOJ2" s="85"/>
      <c r="NOK2" s="85"/>
      <c r="NOL2" s="85"/>
      <c r="NOM2" s="85"/>
      <c r="NON2" s="85"/>
      <c r="NOO2" s="85"/>
      <c r="NOP2" s="85"/>
      <c r="NOQ2" s="85"/>
      <c r="NOR2" s="85"/>
      <c r="NOS2" s="85"/>
      <c r="NOT2" s="85"/>
      <c r="NOU2" s="85"/>
      <c r="NOV2" s="85"/>
      <c r="NOW2" s="85"/>
      <c r="NOX2" s="85"/>
      <c r="NOY2" s="85"/>
      <c r="NOZ2" s="85"/>
      <c r="NPA2" s="85"/>
      <c r="NPB2" s="85"/>
      <c r="NPC2" s="85"/>
      <c r="NPD2" s="85"/>
      <c r="NPE2" s="85"/>
      <c r="NPF2" s="85"/>
      <c r="NPG2" s="85"/>
      <c r="NPH2" s="85"/>
      <c r="NPI2" s="85"/>
      <c r="NPJ2" s="85"/>
      <c r="NPK2" s="85"/>
      <c r="NPL2" s="85"/>
      <c r="NPM2" s="85"/>
      <c r="NPN2" s="85"/>
      <c r="NPO2" s="85"/>
      <c r="NPP2" s="85"/>
      <c r="NPQ2" s="85"/>
      <c r="NPR2" s="85"/>
      <c r="NPS2" s="85"/>
      <c r="NPT2" s="85"/>
      <c r="NPU2" s="85"/>
      <c r="NPV2" s="85"/>
      <c r="NPW2" s="85"/>
      <c r="NPX2" s="85"/>
      <c r="NPY2" s="85"/>
      <c r="NPZ2" s="85"/>
      <c r="NQA2" s="85"/>
      <c r="NQB2" s="85"/>
      <c r="NQC2" s="85"/>
      <c r="NQD2" s="85"/>
      <c r="NQE2" s="85"/>
      <c r="NQF2" s="85"/>
      <c r="NQG2" s="85"/>
      <c r="NQH2" s="85"/>
      <c r="NQI2" s="85"/>
      <c r="NQJ2" s="85"/>
      <c r="NQK2" s="85"/>
      <c r="NQL2" s="85"/>
      <c r="NQM2" s="85"/>
      <c r="NQN2" s="85"/>
      <c r="NQO2" s="85"/>
      <c r="NQP2" s="85"/>
      <c r="NQQ2" s="85"/>
      <c r="NQR2" s="85"/>
      <c r="NQS2" s="85"/>
      <c r="NQT2" s="85"/>
      <c r="NQU2" s="85"/>
      <c r="NQV2" s="85"/>
      <c r="NQW2" s="85"/>
      <c r="NQX2" s="85"/>
      <c r="NQY2" s="85"/>
      <c r="NQZ2" s="85"/>
      <c r="NRA2" s="85"/>
      <c r="NRB2" s="85"/>
      <c r="NRC2" s="85"/>
      <c r="NRD2" s="85"/>
      <c r="NRE2" s="85"/>
      <c r="NRF2" s="85"/>
      <c r="NRG2" s="85"/>
      <c r="NRH2" s="85"/>
      <c r="NRI2" s="85"/>
      <c r="NRJ2" s="85"/>
      <c r="NRK2" s="85"/>
      <c r="NRL2" s="85"/>
      <c r="NRM2" s="85"/>
      <c r="NRN2" s="85"/>
      <c r="NRO2" s="85"/>
      <c r="NRP2" s="85"/>
      <c r="NRQ2" s="85"/>
      <c r="NRR2" s="85"/>
      <c r="NRS2" s="85"/>
      <c r="NRT2" s="85"/>
      <c r="NRU2" s="85"/>
      <c r="NRV2" s="85"/>
      <c r="NRW2" s="85"/>
      <c r="NRX2" s="85"/>
      <c r="NRY2" s="85"/>
      <c r="NRZ2" s="85"/>
      <c r="NSA2" s="85"/>
      <c r="NSB2" s="85"/>
      <c r="NSC2" s="85"/>
      <c r="NSD2" s="85"/>
      <c r="NSE2" s="85"/>
      <c r="NSF2" s="85"/>
      <c r="NSG2" s="85"/>
      <c r="NSH2" s="85"/>
      <c r="NSI2" s="85"/>
      <c r="NSJ2" s="85"/>
      <c r="NSK2" s="85"/>
      <c r="NSL2" s="85"/>
      <c r="NSM2" s="85"/>
      <c r="NSN2" s="85"/>
      <c r="NSO2" s="85"/>
      <c r="NSP2" s="85"/>
      <c r="NSQ2" s="85"/>
      <c r="NSR2" s="85"/>
      <c r="NSS2" s="85"/>
      <c r="NST2" s="85"/>
      <c r="NSU2" s="85"/>
      <c r="NSV2" s="85"/>
      <c r="NSW2" s="85"/>
      <c r="NSX2" s="85"/>
      <c r="NSY2" s="85"/>
      <c r="NSZ2" s="85"/>
      <c r="NTA2" s="85"/>
      <c r="NTB2" s="85"/>
      <c r="NTC2" s="85"/>
      <c r="NTD2" s="85"/>
      <c r="NTE2" s="85"/>
      <c r="NTF2" s="85"/>
      <c r="NTG2" s="85"/>
      <c r="NTH2" s="85"/>
      <c r="NTI2" s="85"/>
      <c r="NTJ2" s="85"/>
      <c r="NTK2" s="85"/>
      <c r="NTL2" s="85"/>
      <c r="NTM2" s="85"/>
      <c r="NTN2" s="85"/>
      <c r="NTO2" s="85"/>
      <c r="NTP2" s="85"/>
      <c r="NTQ2" s="85"/>
      <c r="NTR2" s="85"/>
      <c r="NTS2" s="85"/>
      <c r="NTT2" s="85"/>
      <c r="NTU2" s="85"/>
      <c r="NTV2" s="85"/>
      <c r="NTW2" s="85"/>
      <c r="NTX2" s="85"/>
      <c r="NTY2" s="85"/>
      <c r="NTZ2" s="85"/>
      <c r="NUA2" s="85"/>
      <c r="NUB2" s="85"/>
      <c r="NUC2" s="85"/>
      <c r="NUD2" s="85"/>
      <c r="NUE2" s="85"/>
      <c r="NUF2" s="85"/>
      <c r="NUG2" s="85"/>
      <c r="NUH2" s="85"/>
      <c r="NUI2" s="85"/>
      <c r="NUJ2" s="85"/>
      <c r="NUK2" s="85"/>
      <c r="NUL2" s="85"/>
      <c r="NUM2" s="85"/>
      <c r="NUN2" s="85"/>
      <c r="NUO2" s="85"/>
      <c r="NUP2" s="85"/>
      <c r="NUQ2" s="85"/>
      <c r="NUR2" s="85"/>
      <c r="NUS2" s="85"/>
      <c r="NUT2" s="85"/>
      <c r="NUU2" s="85"/>
      <c r="NUV2" s="85"/>
      <c r="NUW2" s="85"/>
      <c r="NUX2" s="85"/>
      <c r="NUY2" s="85"/>
      <c r="NUZ2" s="85"/>
      <c r="NVA2" s="85"/>
      <c r="NVB2" s="85"/>
      <c r="NVC2" s="85"/>
      <c r="NVD2" s="85"/>
      <c r="NVE2" s="85"/>
      <c r="NVF2" s="85"/>
      <c r="NVG2" s="85"/>
      <c r="NVH2" s="85"/>
      <c r="NVI2" s="85"/>
      <c r="NVJ2" s="85"/>
      <c r="NVK2" s="85"/>
      <c r="NVL2" s="85"/>
      <c r="NVM2" s="85"/>
      <c r="NVN2" s="85"/>
      <c r="NVO2" s="85"/>
      <c r="NVP2" s="85"/>
      <c r="NVQ2" s="85"/>
      <c r="NVR2" s="85"/>
      <c r="NVS2" s="85"/>
      <c r="NVT2" s="85"/>
      <c r="NVU2" s="85"/>
      <c r="NVV2" s="85"/>
      <c r="NVW2" s="85"/>
      <c r="NVX2" s="85"/>
      <c r="NVY2" s="85"/>
      <c r="NVZ2" s="85"/>
      <c r="NWA2" s="85"/>
      <c r="NWB2" s="85"/>
      <c r="NWC2" s="85"/>
      <c r="NWD2" s="85"/>
      <c r="NWE2" s="85"/>
      <c r="NWF2" s="85"/>
      <c r="NWG2" s="85"/>
      <c r="NWH2" s="85"/>
      <c r="NWI2" s="85"/>
      <c r="NWJ2" s="85"/>
      <c r="NWK2" s="85"/>
      <c r="NWL2" s="85"/>
      <c r="NWM2" s="85"/>
      <c r="NWN2" s="85"/>
      <c r="NWO2" s="85"/>
      <c r="NWP2" s="85"/>
      <c r="NWQ2" s="85"/>
      <c r="NWR2" s="85"/>
      <c r="NWS2" s="85"/>
      <c r="NWT2" s="85"/>
      <c r="NWU2" s="85"/>
      <c r="NWV2" s="85"/>
      <c r="NWW2" s="85"/>
      <c r="NWX2" s="85"/>
      <c r="NWY2" s="85"/>
      <c r="NWZ2" s="85"/>
      <c r="NXA2" s="85"/>
      <c r="NXB2" s="85"/>
      <c r="NXC2" s="85"/>
      <c r="NXD2" s="85"/>
      <c r="NXE2" s="85"/>
      <c r="NXF2" s="85"/>
      <c r="NXG2" s="85"/>
      <c r="NXH2" s="85"/>
      <c r="NXI2" s="85"/>
      <c r="NXJ2" s="85"/>
      <c r="NXK2" s="85"/>
      <c r="NXL2" s="85"/>
      <c r="NXM2" s="85"/>
      <c r="NXN2" s="85"/>
      <c r="NXO2" s="85"/>
      <c r="NXP2" s="85"/>
      <c r="NXQ2" s="85"/>
      <c r="NXR2" s="85"/>
      <c r="NXS2" s="85"/>
      <c r="NXT2" s="85"/>
      <c r="NXU2" s="85"/>
      <c r="NXV2" s="85"/>
      <c r="NXW2" s="85"/>
      <c r="NXX2" s="85"/>
      <c r="NXY2" s="85"/>
      <c r="NXZ2" s="85"/>
      <c r="NYA2" s="85"/>
      <c r="NYB2" s="85"/>
      <c r="NYC2" s="85"/>
      <c r="NYD2" s="85"/>
      <c r="NYE2" s="85"/>
      <c r="NYF2" s="85"/>
      <c r="NYG2" s="85"/>
      <c r="NYH2" s="85"/>
      <c r="NYI2" s="85"/>
      <c r="NYJ2" s="85"/>
      <c r="NYK2" s="85"/>
      <c r="NYL2" s="85"/>
      <c r="NYM2" s="85"/>
      <c r="NYN2" s="85"/>
      <c r="NYO2" s="85"/>
      <c r="NYP2" s="85"/>
      <c r="NYQ2" s="85"/>
      <c r="NYR2" s="85"/>
      <c r="NYS2" s="85"/>
      <c r="NYT2" s="85"/>
      <c r="NYU2" s="85"/>
      <c r="NYV2" s="85"/>
      <c r="NYW2" s="85"/>
      <c r="NYX2" s="85"/>
      <c r="NYY2" s="85"/>
      <c r="NYZ2" s="85"/>
      <c r="NZA2" s="85"/>
      <c r="NZB2" s="85"/>
      <c r="NZC2" s="85"/>
      <c r="NZD2" s="85"/>
      <c r="NZE2" s="85"/>
      <c r="NZF2" s="85"/>
      <c r="NZG2" s="85"/>
      <c r="NZH2" s="85"/>
      <c r="NZI2" s="85"/>
      <c r="NZJ2" s="85"/>
      <c r="NZK2" s="85"/>
      <c r="NZL2" s="85"/>
      <c r="NZM2" s="85"/>
      <c r="NZN2" s="85"/>
      <c r="NZO2" s="85"/>
      <c r="NZP2" s="85"/>
      <c r="NZQ2" s="85"/>
      <c r="NZR2" s="85"/>
      <c r="NZS2" s="85"/>
      <c r="NZT2" s="85"/>
      <c r="NZU2" s="85"/>
      <c r="NZV2" s="85"/>
      <c r="NZW2" s="85"/>
      <c r="NZX2" s="85"/>
      <c r="NZY2" s="85"/>
      <c r="NZZ2" s="85"/>
      <c r="OAA2" s="85"/>
      <c r="OAB2" s="85"/>
      <c r="OAC2" s="85"/>
      <c r="OAD2" s="85"/>
      <c r="OAE2" s="85"/>
      <c r="OAF2" s="85"/>
      <c r="OAG2" s="85"/>
      <c r="OAH2" s="85"/>
      <c r="OAI2" s="85"/>
      <c r="OAJ2" s="85"/>
      <c r="OAK2" s="85"/>
      <c r="OAL2" s="85"/>
      <c r="OAM2" s="85"/>
      <c r="OAN2" s="85"/>
      <c r="OAO2" s="85"/>
      <c r="OAP2" s="85"/>
      <c r="OAQ2" s="85"/>
      <c r="OAR2" s="85"/>
      <c r="OAS2" s="85"/>
      <c r="OAT2" s="85"/>
      <c r="OAU2" s="85"/>
      <c r="OAV2" s="85"/>
      <c r="OAW2" s="85"/>
      <c r="OAX2" s="85"/>
      <c r="OAY2" s="85"/>
      <c r="OAZ2" s="85"/>
      <c r="OBA2" s="85"/>
      <c r="OBB2" s="85"/>
      <c r="OBC2" s="85"/>
      <c r="OBD2" s="85"/>
      <c r="OBE2" s="85"/>
      <c r="OBF2" s="85"/>
      <c r="OBG2" s="85"/>
      <c r="OBH2" s="85"/>
      <c r="OBI2" s="85"/>
      <c r="OBJ2" s="85"/>
      <c r="OBK2" s="85"/>
      <c r="OBL2" s="85"/>
      <c r="OBM2" s="85"/>
      <c r="OBN2" s="85"/>
      <c r="OBO2" s="85"/>
      <c r="OBP2" s="85"/>
      <c r="OBQ2" s="85"/>
      <c r="OBR2" s="85"/>
      <c r="OBS2" s="85"/>
      <c r="OBT2" s="85"/>
      <c r="OBU2" s="85"/>
      <c r="OBV2" s="85"/>
      <c r="OBW2" s="85"/>
      <c r="OBX2" s="85"/>
      <c r="OBY2" s="85"/>
      <c r="OBZ2" s="85"/>
      <c r="OCA2" s="85"/>
      <c r="OCB2" s="85"/>
      <c r="OCC2" s="85"/>
      <c r="OCD2" s="85"/>
      <c r="OCE2" s="85"/>
      <c r="OCF2" s="85"/>
      <c r="OCG2" s="85"/>
      <c r="OCH2" s="85"/>
      <c r="OCI2" s="85"/>
      <c r="OCJ2" s="85"/>
      <c r="OCK2" s="85"/>
      <c r="OCL2" s="85"/>
      <c r="OCM2" s="85"/>
      <c r="OCN2" s="85"/>
      <c r="OCO2" s="85"/>
      <c r="OCP2" s="85"/>
      <c r="OCQ2" s="85"/>
      <c r="OCR2" s="85"/>
      <c r="OCS2" s="85"/>
      <c r="OCT2" s="85"/>
      <c r="OCU2" s="85"/>
      <c r="OCV2" s="85"/>
      <c r="OCW2" s="85"/>
      <c r="OCX2" s="85"/>
      <c r="OCY2" s="85"/>
      <c r="OCZ2" s="85"/>
      <c r="ODA2" s="85"/>
      <c r="ODB2" s="85"/>
      <c r="ODC2" s="85"/>
      <c r="ODD2" s="85"/>
      <c r="ODE2" s="85"/>
      <c r="ODF2" s="85"/>
      <c r="ODG2" s="85"/>
      <c r="ODH2" s="85"/>
      <c r="ODI2" s="85"/>
      <c r="ODJ2" s="85"/>
      <c r="ODK2" s="85"/>
      <c r="ODL2" s="85"/>
      <c r="ODM2" s="85"/>
      <c r="ODN2" s="85"/>
      <c r="ODO2" s="85"/>
      <c r="ODP2" s="85"/>
      <c r="ODQ2" s="85"/>
      <c r="ODR2" s="85"/>
      <c r="ODS2" s="85"/>
      <c r="ODT2" s="85"/>
      <c r="ODU2" s="85"/>
      <c r="ODV2" s="85"/>
      <c r="ODW2" s="85"/>
      <c r="ODX2" s="85"/>
      <c r="ODY2" s="85"/>
      <c r="ODZ2" s="85"/>
      <c r="OEA2" s="85"/>
      <c r="OEB2" s="85"/>
      <c r="OEC2" s="85"/>
      <c r="OED2" s="85"/>
      <c r="OEE2" s="85"/>
      <c r="OEF2" s="85"/>
      <c r="OEG2" s="85"/>
      <c r="OEH2" s="85"/>
      <c r="OEI2" s="85"/>
      <c r="OEJ2" s="85"/>
      <c r="OEK2" s="85"/>
      <c r="OEL2" s="85"/>
      <c r="OEM2" s="85"/>
      <c r="OEN2" s="85"/>
      <c r="OEO2" s="85"/>
      <c r="OEP2" s="85"/>
      <c r="OEQ2" s="85"/>
      <c r="OER2" s="85"/>
      <c r="OES2" s="85"/>
      <c r="OET2" s="85"/>
      <c r="OEU2" s="85"/>
      <c r="OEV2" s="85"/>
      <c r="OEW2" s="85"/>
      <c r="OEX2" s="85"/>
      <c r="OEY2" s="85"/>
      <c r="OEZ2" s="85"/>
      <c r="OFA2" s="85"/>
      <c r="OFB2" s="85"/>
      <c r="OFC2" s="85"/>
      <c r="OFD2" s="85"/>
      <c r="OFE2" s="85"/>
      <c r="OFF2" s="85"/>
      <c r="OFG2" s="85"/>
      <c r="OFH2" s="85"/>
      <c r="OFI2" s="85"/>
      <c r="OFJ2" s="85"/>
      <c r="OFK2" s="85"/>
      <c r="OFL2" s="85"/>
      <c r="OFM2" s="85"/>
      <c r="OFN2" s="85"/>
      <c r="OFO2" s="85"/>
      <c r="OFP2" s="85"/>
      <c r="OFQ2" s="85"/>
      <c r="OFR2" s="85"/>
      <c r="OFS2" s="85"/>
      <c r="OFT2" s="85"/>
      <c r="OFU2" s="85"/>
      <c r="OFV2" s="85"/>
      <c r="OFW2" s="85"/>
      <c r="OFX2" s="85"/>
      <c r="OFY2" s="85"/>
      <c r="OFZ2" s="85"/>
      <c r="OGA2" s="85"/>
      <c r="OGB2" s="85"/>
      <c r="OGC2" s="85"/>
      <c r="OGD2" s="85"/>
      <c r="OGE2" s="85"/>
      <c r="OGF2" s="85"/>
      <c r="OGG2" s="85"/>
      <c r="OGH2" s="85"/>
      <c r="OGI2" s="85"/>
      <c r="OGJ2" s="85"/>
      <c r="OGK2" s="85"/>
      <c r="OGL2" s="85"/>
      <c r="OGM2" s="85"/>
      <c r="OGN2" s="85"/>
      <c r="OGO2" s="85"/>
      <c r="OGP2" s="85"/>
      <c r="OGQ2" s="85"/>
      <c r="OGR2" s="85"/>
      <c r="OGS2" s="85"/>
      <c r="OGT2" s="85"/>
      <c r="OGU2" s="85"/>
      <c r="OGV2" s="85"/>
      <c r="OGW2" s="85"/>
      <c r="OGX2" s="85"/>
      <c r="OGY2" s="85"/>
      <c r="OGZ2" s="85"/>
      <c r="OHA2" s="85"/>
      <c r="OHB2" s="85"/>
      <c r="OHC2" s="85"/>
      <c r="OHD2" s="85"/>
      <c r="OHE2" s="85"/>
      <c r="OHF2" s="85"/>
      <c r="OHG2" s="85"/>
      <c r="OHH2" s="85"/>
      <c r="OHI2" s="85"/>
      <c r="OHJ2" s="85"/>
      <c r="OHK2" s="85"/>
      <c r="OHL2" s="85"/>
      <c r="OHM2" s="85"/>
      <c r="OHN2" s="85"/>
      <c r="OHO2" s="85"/>
      <c r="OHP2" s="85"/>
      <c r="OHQ2" s="85"/>
      <c r="OHR2" s="85"/>
      <c r="OHS2" s="85"/>
      <c r="OHT2" s="85"/>
      <c r="OHU2" s="85"/>
      <c r="OHV2" s="85"/>
      <c r="OHW2" s="85"/>
      <c r="OHX2" s="85"/>
      <c r="OHY2" s="85"/>
      <c r="OHZ2" s="85"/>
      <c r="OIA2" s="85"/>
      <c r="OIB2" s="85"/>
      <c r="OIC2" s="85"/>
      <c r="OID2" s="85"/>
      <c r="OIE2" s="85"/>
      <c r="OIF2" s="85"/>
      <c r="OIG2" s="85"/>
      <c r="OIH2" s="85"/>
      <c r="OII2" s="85"/>
      <c r="OIJ2" s="85"/>
      <c r="OIK2" s="85"/>
      <c r="OIL2" s="85"/>
      <c r="OIM2" s="85"/>
      <c r="OIN2" s="85"/>
      <c r="OIO2" s="85"/>
      <c r="OIP2" s="85"/>
      <c r="OIQ2" s="85"/>
      <c r="OIR2" s="85"/>
      <c r="OIS2" s="85"/>
      <c r="OIT2" s="85"/>
      <c r="OIU2" s="85"/>
      <c r="OIV2" s="85"/>
      <c r="OIW2" s="85"/>
      <c r="OIX2" s="85"/>
      <c r="OIY2" s="85"/>
      <c r="OIZ2" s="85"/>
      <c r="OJA2" s="85"/>
      <c r="OJB2" s="85"/>
      <c r="OJC2" s="85"/>
      <c r="OJD2" s="85"/>
      <c r="OJE2" s="85"/>
      <c r="OJF2" s="85"/>
      <c r="OJG2" s="85"/>
      <c r="OJH2" s="85"/>
      <c r="OJI2" s="85"/>
      <c r="OJJ2" s="85"/>
      <c r="OJK2" s="85"/>
      <c r="OJL2" s="85"/>
      <c r="OJM2" s="85"/>
      <c r="OJN2" s="85"/>
      <c r="OJO2" s="85"/>
      <c r="OJP2" s="85"/>
      <c r="OJQ2" s="85"/>
      <c r="OJR2" s="85"/>
      <c r="OJS2" s="85"/>
      <c r="OJT2" s="85"/>
      <c r="OJU2" s="85"/>
      <c r="OJV2" s="85"/>
      <c r="OJW2" s="85"/>
      <c r="OJX2" s="85"/>
      <c r="OJY2" s="85"/>
      <c r="OJZ2" s="85"/>
      <c r="OKA2" s="85"/>
      <c r="OKB2" s="85"/>
      <c r="OKC2" s="85"/>
      <c r="OKD2" s="85"/>
      <c r="OKE2" s="85"/>
      <c r="OKF2" s="85"/>
      <c r="OKG2" s="85"/>
      <c r="OKH2" s="85"/>
      <c r="OKI2" s="85"/>
      <c r="OKJ2" s="85"/>
      <c r="OKK2" s="85"/>
      <c r="OKL2" s="85"/>
      <c r="OKM2" s="85"/>
      <c r="OKN2" s="85"/>
      <c r="OKO2" s="85"/>
      <c r="OKP2" s="85"/>
      <c r="OKQ2" s="85"/>
      <c r="OKR2" s="85"/>
      <c r="OKS2" s="85"/>
      <c r="OKT2" s="85"/>
      <c r="OKU2" s="85"/>
      <c r="OKV2" s="85"/>
      <c r="OKW2" s="85"/>
      <c r="OKX2" s="85"/>
      <c r="OKY2" s="85"/>
      <c r="OKZ2" s="85"/>
      <c r="OLA2" s="85"/>
      <c r="OLB2" s="85"/>
      <c r="OLC2" s="85"/>
      <c r="OLD2" s="85"/>
      <c r="OLE2" s="85"/>
      <c r="OLF2" s="85"/>
      <c r="OLG2" s="85"/>
      <c r="OLH2" s="85"/>
      <c r="OLI2" s="85"/>
      <c r="OLJ2" s="85"/>
      <c r="OLK2" s="85"/>
      <c r="OLL2" s="85"/>
      <c r="OLM2" s="85"/>
      <c r="OLN2" s="85"/>
      <c r="OLO2" s="85"/>
      <c r="OLP2" s="85"/>
      <c r="OLQ2" s="85"/>
      <c r="OLR2" s="85"/>
      <c r="OLS2" s="85"/>
      <c r="OLT2" s="85"/>
      <c r="OLU2" s="85"/>
      <c r="OLV2" s="85"/>
      <c r="OLW2" s="85"/>
      <c r="OLX2" s="85"/>
      <c r="OLY2" s="85"/>
      <c r="OLZ2" s="85"/>
      <c r="OMA2" s="85"/>
      <c r="OMB2" s="85"/>
      <c r="OMC2" s="85"/>
      <c r="OMD2" s="85"/>
      <c r="OME2" s="85"/>
      <c r="OMF2" s="85"/>
      <c r="OMG2" s="85"/>
      <c r="OMH2" s="85"/>
      <c r="OMI2" s="85"/>
      <c r="OMJ2" s="85"/>
      <c r="OMK2" s="85"/>
      <c r="OML2" s="85"/>
      <c r="OMM2" s="85"/>
      <c r="OMN2" s="85"/>
      <c r="OMO2" s="85"/>
      <c r="OMP2" s="85"/>
      <c r="OMQ2" s="85"/>
      <c r="OMR2" s="85"/>
      <c r="OMS2" s="85"/>
      <c r="OMT2" s="85"/>
      <c r="OMU2" s="85"/>
      <c r="OMV2" s="85"/>
      <c r="OMW2" s="85"/>
      <c r="OMX2" s="85"/>
      <c r="OMY2" s="85"/>
      <c r="OMZ2" s="85"/>
      <c r="ONA2" s="85"/>
      <c r="ONB2" s="85"/>
      <c r="ONC2" s="85"/>
      <c r="OND2" s="85"/>
      <c r="ONE2" s="85"/>
      <c r="ONF2" s="85"/>
      <c r="ONG2" s="85"/>
      <c r="ONH2" s="85"/>
      <c r="ONI2" s="85"/>
      <c r="ONJ2" s="85"/>
      <c r="ONK2" s="85"/>
      <c r="ONL2" s="85"/>
      <c r="ONM2" s="85"/>
      <c r="ONN2" s="85"/>
      <c r="ONO2" s="85"/>
      <c r="ONP2" s="85"/>
      <c r="ONQ2" s="85"/>
      <c r="ONR2" s="85"/>
      <c r="ONS2" s="85"/>
      <c r="ONT2" s="85"/>
      <c r="ONU2" s="85"/>
      <c r="ONV2" s="85"/>
      <c r="ONW2" s="85"/>
      <c r="ONX2" s="85"/>
      <c r="ONY2" s="85"/>
      <c r="ONZ2" s="85"/>
      <c r="OOA2" s="85"/>
      <c r="OOB2" s="85"/>
      <c r="OOC2" s="85"/>
      <c r="OOD2" s="85"/>
      <c r="OOE2" s="85"/>
      <c r="OOF2" s="85"/>
      <c r="OOG2" s="85"/>
      <c r="OOH2" s="85"/>
      <c r="OOI2" s="85"/>
      <c r="OOJ2" s="85"/>
      <c r="OOK2" s="85"/>
      <c r="OOL2" s="85"/>
      <c r="OOM2" s="85"/>
      <c r="OON2" s="85"/>
      <c r="OOO2" s="85"/>
      <c r="OOP2" s="85"/>
      <c r="OOQ2" s="85"/>
      <c r="OOR2" s="85"/>
      <c r="OOS2" s="85"/>
      <c r="OOT2" s="85"/>
      <c r="OOU2" s="85"/>
      <c r="OOV2" s="85"/>
      <c r="OOW2" s="85"/>
      <c r="OOX2" s="85"/>
      <c r="OOY2" s="85"/>
      <c r="OOZ2" s="85"/>
      <c r="OPA2" s="85"/>
      <c r="OPB2" s="85"/>
      <c r="OPC2" s="85"/>
      <c r="OPD2" s="85"/>
      <c r="OPE2" s="85"/>
      <c r="OPF2" s="85"/>
      <c r="OPG2" s="85"/>
      <c r="OPH2" s="85"/>
      <c r="OPI2" s="85"/>
      <c r="OPJ2" s="85"/>
      <c r="OPK2" s="85"/>
      <c r="OPL2" s="85"/>
      <c r="OPM2" s="85"/>
      <c r="OPN2" s="85"/>
      <c r="OPO2" s="85"/>
      <c r="OPP2" s="85"/>
      <c r="OPQ2" s="85"/>
      <c r="OPR2" s="85"/>
      <c r="OPS2" s="85"/>
      <c r="OPT2" s="85"/>
      <c r="OPU2" s="85"/>
      <c r="OPV2" s="85"/>
      <c r="OPW2" s="85"/>
      <c r="OPX2" s="85"/>
      <c r="OPY2" s="85"/>
      <c r="OPZ2" s="85"/>
      <c r="OQA2" s="85"/>
      <c r="OQB2" s="85"/>
      <c r="OQC2" s="85"/>
      <c r="OQD2" s="85"/>
      <c r="OQE2" s="85"/>
      <c r="OQF2" s="85"/>
      <c r="OQG2" s="85"/>
      <c r="OQH2" s="85"/>
      <c r="OQI2" s="85"/>
      <c r="OQJ2" s="85"/>
      <c r="OQK2" s="85"/>
      <c r="OQL2" s="85"/>
      <c r="OQM2" s="85"/>
      <c r="OQN2" s="85"/>
      <c r="OQO2" s="85"/>
      <c r="OQP2" s="85"/>
      <c r="OQQ2" s="85"/>
      <c r="OQR2" s="85"/>
      <c r="OQS2" s="85"/>
      <c r="OQT2" s="85"/>
      <c r="OQU2" s="85"/>
      <c r="OQV2" s="85"/>
      <c r="OQW2" s="85"/>
      <c r="OQX2" s="85"/>
      <c r="OQY2" s="85"/>
      <c r="OQZ2" s="85"/>
      <c r="ORA2" s="85"/>
      <c r="ORB2" s="85"/>
      <c r="ORC2" s="85"/>
      <c r="ORD2" s="85"/>
      <c r="ORE2" s="85"/>
      <c r="ORF2" s="85"/>
      <c r="ORG2" s="85"/>
      <c r="ORH2" s="85"/>
      <c r="ORI2" s="85"/>
      <c r="ORJ2" s="85"/>
      <c r="ORK2" s="85"/>
      <c r="ORL2" s="85"/>
      <c r="ORM2" s="85"/>
      <c r="ORN2" s="85"/>
      <c r="ORO2" s="85"/>
      <c r="ORP2" s="85"/>
      <c r="ORQ2" s="85"/>
      <c r="ORR2" s="85"/>
      <c r="ORS2" s="85"/>
      <c r="ORT2" s="85"/>
      <c r="ORU2" s="85"/>
      <c r="ORV2" s="85"/>
      <c r="ORW2" s="85"/>
      <c r="ORX2" s="85"/>
      <c r="ORY2" s="85"/>
      <c r="ORZ2" s="85"/>
      <c r="OSA2" s="85"/>
      <c r="OSB2" s="85"/>
      <c r="OSC2" s="85"/>
      <c r="OSD2" s="85"/>
      <c r="OSE2" s="85"/>
      <c r="OSF2" s="85"/>
      <c r="OSG2" s="85"/>
      <c r="OSH2" s="85"/>
      <c r="OSI2" s="85"/>
      <c r="OSJ2" s="85"/>
      <c r="OSK2" s="85"/>
      <c r="OSL2" s="85"/>
      <c r="OSM2" s="85"/>
      <c r="OSN2" s="85"/>
      <c r="OSO2" s="85"/>
      <c r="OSP2" s="85"/>
      <c r="OSQ2" s="85"/>
      <c r="OSR2" s="85"/>
      <c r="OSS2" s="85"/>
      <c r="OST2" s="85"/>
      <c r="OSU2" s="85"/>
      <c r="OSV2" s="85"/>
      <c r="OSW2" s="85"/>
      <c r="OSX2" s="85"/>
      <c r="OSY2" s="85"/>
      <c r="OSZ2" s="85"/>
      <c r="OTA2" s="85"/>
      <c r="OTB2" s="85"/>
      <c r="OTC2" s="85"/>
      <c r="OTD2" s="85"/>
      <c r="OTE2" s="85"/>
      <c r="OTF2" s="85"/>
      <c r="OTG2" s="85"/>
      <c r="OTH2" s="85"/>
      <c r="OTI2" s="85"/>
      <c r="OTJ2" s="85"/>
      <c r="OTK2" s="85"/>
      <c r="OTL2" s="85"/>
      <c r="OTM2" s="85"/>
      <c r="OTN2" s="85"/>
      <c r="OTO2" s="85"/>
      <c r="OTP2" s="85"/>
      <c r="OTQ2" s="85"/>
      <c r="OTR2" s="85"/>
      <c r="OTS2" s="85"/>
      <c r="OTT2" s="85"/>
      <c r="OTU2" s="85"/>
      <c r="OTV2" s="85"/>
      <c r="OTW2" s="85"/>
      <c r="OTX2" s="85"/>
      <c r="OTY2" s="85"/>
      <c r="OTZ2" s="85"/>
      <c r="OUA2" s="85"/>
      <c r="OUB2" s="85"/>
      <c r="OUC2" s="85"/>
      <c r="OUD2" s="85"/>
      <c r="OUE2" s="85"/>
      <c r="OUF2" s="85"/>
      <c r="OUG2" s="85"/>
      <c r="OUH2" s="85"/>
      <c r="OUI2" s="85"/>
      <c r="OUJ2" s="85"/>
      <c r="OUK2" s="85"/>
      <c r="OUL2" s="85"/>
      <c r="OUM2" s="85"/>
      <c r="OUN2" s="85"/>
      <c r="OUO2" s="85"/>
      <c r="OUP2" s="85"/>
      <c r="OUQ2" s="85"/>
      <c r="OUR2" s="85"/>
      <c r="OUS2" s="85"/>
      <c r="OUT2" s="85"/>
      <c r="OUU2" s="85"/>
      <c r="OUV2" s="85"/>
      <c r="OUW2" s="85"/>
      <c r="OUX2" s="85"/>
      <c r="OUY2" s="85"/>
      <c r="OUZ2" s="85"/>
      <c r="OVA2" s="85"/>
      <c r="OVB2" s="85"/>
      <c r="OVC2" s="85"/>
      <c r="OVD2" s="85"/>
      <c r="OVE2" s="85"/>
      <c r="OVF2" s="85"/>
      <c r="OVG2" s="85"/>
      <c r="OVH2" s="85"/>
      <c r="OVI2" s="85"/>
      <c r="OVJ2" s="85"/>
      <c r="OVK2" s="85"/>
      <c r="OVL2" s="85"/>
      <c r="OVM2" s="85"/>
      <c r="OVN2" s="85"/>
      <c r="OVO2" s="85"/>
      <c r="OVP2" s="85"/>
      <c r="OVQ2" s="85"/>
      <c r="OVR2" s="85"/>
      <c r="OVS2" s="85"/>
      <c r="OVT2" s="85"/>
      <c r="OVU2" s="85"/>
      <c r="OVV2" s="85"/>
      <c r="OVW2" s="85"/>
      <c r="OVX2" s="85"/>
      <c r="OVY2" s="85"/>
      <c r="OVZ2" s="85"/>
      <c r="OWA2" s="85"/>
      <c r="OWB2" s="85"/>
      <c r="OWC2" s="85"/>
      <c r="OWD2" s="85"/>
      <c r="OWE2" s="85"/>
      <c r="OWF2" s="85"/>
      <c r="OWG2" s="85"/>
      <c r="OWH2" s="85"/>
      <c r="OWI2" s="85"/>
      <c r="OWJ2" s="85"/>
      <c r="OWK2" s="85"/>
      <c r="OWL2" s="85"/>
      <c r="OWM2" s="85"/>
      <c r="OWN2" s="85"/>
      <c r="OWO2" s="85"/>
      <c r="OWP2" s="85"/>
      <c r="OWQ2" s="85"/>
      <c r="OWR2" s="85"/>
      <c r="OWS2" s="85"/>
      <c r="OWT2" s="85"/>
      <c r="OWU2" s="85"/>
      <c r="OWV2" s="85"/>
      <c r="OWW2" s="85"/>
      <c r="OWX2" s="85"/>
      <c r="OWY2" s="85"/>
      <c r="OWZ2" s="85"/>
      <c r="OXA2" s="85"/>
      <c r="OXB2" s="85"/>
      <c r="OXC2" s="85"/>
      <c r="OXD2" s="85"/>
      <c r="OXE2" s="85"/>
      <c r="OXF2" s="85"/>
      <c r="OXG2" s="85"/>
      <c r="OXH2" s="85"/>
      <c r="OXI2" s="85"/>
      <c r="OXJ2" s="85"/>
      <c r="OXK2" s="85"/>
      <c r="OXL2" s="85"/>
      <c r="OXM2" s="85"/>
      <c r="OXN2" s="85"/>
      <c r="OXO2" s="85"/>
      <c r="OXP2" s="85"/>
      <c r="OXQ2" s="85"/>
      <c r="OXR2" s="85"/>
      <c r="OXS2" s="85"/>
      <c r="OXT2" s="85"/>
      <c r="OXU2" s="85"/>
      <c r="OXV2" s="85"/>
      <c r="OXW2" s="85"/>
      <c r="OXX2" s="85"/>
      <c r="OXY2" s="85"/>
      <c r="OXZ2" s="85"/>
      <c r="OYA2" s="85"/>
      <c r="OYB2" s="85"/>
      <c r="OYC2" s="85"/>
      <c r="OYD2" s="85"/>
      <c r="OYE2" s="85"/>
      <c r="OYF2" s="85"/>
      <c r="OYG2" s="85"/>
      <c r="OYH2" s="85"/>
      <c r="OYI2" s="85"/>
      <c r="OYJ2" s="85"/>
      <c r="OYK2" s="85"/>
      <c r="OYL2" s="85"/>
      <c r="OYM2" s="85"/>
      <c r="OYN2" s="85"/>
      <c r="OYO2" s="85"/>
      <c r="OYP2" s="85"/>
      <c r="OYQ2" s="85"/>
      <c r="OYR2" s="85"/>
      <c r="OYS2" s="85"/>
      <c r="OYT2" s="85"/>
      <c r="OYU2" s="85"/>
      <c r="OYV2" s="85"/>
      <c r="OYW2" s="85"/>
      <c r="OYX2" s="85"/>
      <c r="OYY2" s="85"/>
      <c r="OYZ2" s="85"/>
      <c r="OZA2" s="85"/>
      <c r="OZB2" s="85"/>
      <c r="OZC2" s="85"/>
      <c r="OZD2" s="85"/>
      <c r="OZE2" s="85"/>
      <c r="OZF2" s="85"/>
      <c r="OZG2" s="85"/>
      <c r="OZH2" s="85"/>
      <c r="OZI2" s="85"/>
      <c r="OZJ2" s="85"/>
      <c r="OZK2" s="85"/>
      <c r="OZL2" s="85"/>
      <c r="OZM2" s="85"/>
      <c r="OZN2" s="85"/>
      <c r="OZO2" s="85"/>
      <c r="OZP2" s="85"/>
      <c r="OZQ2" s="85"/>
      <c r="OZR2" s="85"/>
      <c r="OZS2" s="85"/>
      <c r="OZT2" s="85"/>
      <c r="OZU2" s="85"/>
      <c r="OZV2" s="85"/>
      <c r="OZW2" s="85"/>
      <c r="OZX2" s="85"/>
      <c r="OZY2" s="85"/>
      <c r="OZZ2" s="85"/>
      <c r="PAA2" s="85"/>
      <c r="PAB2" s="85"/>
      <c r="PAC2" s="85"/>
      <c r="PAD2" s="85"/>
      <c r="PAE2" s="85"/>
      <c r="PAF2" s="85"/>
      <c r="PAG2" s="85"/>
      <c r="PAH2" s="85"/>
      <c r="PAI2" s="85"/>
      <c r="PAJ2" s="85"/>
      <c r="PAK2" s="85"/>
      <c r="PAL2" s="85"/>
      <c r="PAM2" s="85"/>
      <c r="PAN2" s="85"/>
      <c r="PAO2" s="85"/>
      <c r="PAP2" s="85"/>
      <c r="PAQ2" s="85"/>
      <c r="PAR2" s="85"/>
      <c r="PAS2" s="85"/>
      <c r="PAT2" s="85"/>
      <c r="PAU2" s="85"/>
      <c r="PAV2" s="85"/>
      <c r="PAW2" s="85"/>
      <c r="PAX2" s="85"/>
      <c r="PAY2" s="85"/>
      <c r="PAZ2" s="85"/>
      <c r="PBA2" s="85"/>
      <c r="PBB2" s="85"/>
      <c r="PBC2" s="85"/>
      <c r="PBD2" s="85"/>
      <c r="PBE2" s="85"/>
      <c r="PBF2" s="85"/>
      <c r="PBG2" s="85"/>
      <c r="PBH2" s="85"/>
      <c r="PBI2" s="85"/>
      <c r="PBJ2" s="85"/>
      <c r="PBK2" s="85"/>
      <c r="PBL2" s="85"/>
      <c r="PBM2" s="85"/>
      <c r="PBN2" s="85"/>
      <c r="PBO2" s="85"/>
      <c r="PBP2" s="85"/>
      <c r="PBQ2" s="85"/>
      <c r="PBR2" s="85"/>
      <c r="PBS2" s="85"/>
      <c r="PBT2" s="85"/>
      <c r="PBU2" s="85"/>
      <c r="PBV2" s="85"/>
      <c r="PBW2" s="85"/>
      <c r="PBX2" s="85"/>
      <c r="PBY2" s="85"/>
      <c r="PBZ2" s="85"/>
      <c r="PCA2" s="85"/>
      <c r="PCB2" s="85"/>
      <c r="PCC2" s="85"/>
      <c r="PCD2" s="85"/>
      <c r="PCE2" s="85"/>
      <c r="PCF2" s="85"/>
      <c r="PCG2" s="85"/>
      <c r="PCH2" s="85"/>
      <c r="PCI2" s="85"/>
      <c r="PCJ2" s="85"/>
      <c r="PCK2" s="85"/>
      <c r="PCL2" s="85"/>
      <c r="PCM2" s="85"/>
      <c r="PCN2" s="85"/>
      <c r="PCO2" s="85"/>
      <c r="PCP2" s="85"/>
      <c r="PCQ2" s="85"/>
      <c r="PCR2" s="85"/>
      <c r="PCS2" s="85"/>
      <c r="PCT2" s="85"/>
      <c r="PCU2" s="85"/>
      <c r="PCV2" s="85"/>
      <c r="PCW2" s="85"/>
      <c r="PCX2" s="85"/>
      <c r="PCY2" s="85"/>
      <c r="PCZ2" s="85"/>
      <c r="PDA2" s="85"/>
      <c r="PDB2" s="85"/>
      <c r="PDC2" s="85"/>
      <c r="PDD2" s="85"/>
      <c r="PDE2" s="85"/>
      <c r="PDF2" s="85"/>
      <c r="PDG2" s="85"/>
      <c r="PDH2" s="85"/>
      <c r="PDI2" s="85"/>
      <c r="PDJ2" s="85"/>
      <c r="PDK2" s="85"/>
      <c r="PDL2" s="85"/>
      <c r="PDM2" s="85"/>
      <c r="PDN2" s="85"/>
      <c r="PDO2" s="85"/>
      <c r="PDP2" s="85"/>
      <c r="PDQ2" s="85"/>
      <c r="PDR2" s="85"/>
      <c r="PDS2" s="85"/>
      <c r="PDT2" s="85"/>
      <c r="PDU2" s="85"/>
      <c r="PDV2" s="85"/>
      <c r="PDW2" s="85"/>
      <c r="PDX2" s="85"/>
      <c r="PDY2" s="85"/>
      <c r="PDZ2" s="85"/>
      <c r="PEA2" s="85"/>
      <c r="PEB2" s="85"/>
      <c r="PEC2" s="85"/>
      <c r="PED2" s="85"/>
      <c r="PEE2" s="85"/>
      <c r="PEF2" s="85"/>
      <c r="PEG2" s="85"/>
      <c r="PEH2" s="85"/>
      <c r="PEI2" s="85"/>
      <c r="PEJ2" s="85"/>
      <c r="PEK2" s="85"/>
      <c r="PEL2" s="85"/>
      <c r="PEM2" s="85"/>
      <c r="PEN2" s="85"/>
      <c r="PEO2" s="85"/>
      <c r="PEP2" s="85"/>
      <c r="PEQ2" s="85"/>
      <c r="PER2" s="85"/>
      <c r="PES2" s="85"/>
      <c r="PET2" s="85"/>
      <c r="PEU2" s="85"/>
      <c r="PEV2" s="85"/>
      <c r="PEW2" s="85"/>
      <c r="PEX2" s="85"/>
      <c r="PEY2" s="85"/>
      <c r="PEZ2" s="85"/>
      <c r="PFA2" s="85"/>
      <c r="PFB2" s="85"/>
      <c r="PFC2" s="85"/>
      <c r="PFD2" s="85"/>
      <c r="PFE2" s="85"/>
      <c r="PFF2" s="85"/>
      <c r="PFG2" s="85"/>
      <c r="PFH2" s="85"/>
      <c r="PFI2" s="85"/>
      <c r="PFJ2" s="85"/>
      <c r="PFK2" s="85"/>
      <c r="PFL2" s="85"/>
      <c r="PFM2" s="85"/>
      <c r="PFN2" s="85"/>
      <c r="PFO2" s="85"/>
      <c r="PFP2" s="85"/>
      <c r="PFQ2" s="85"/>
      <c r="PFR2" s="85"/>
      <c r="PFS2" s="85"/>
      <c r="PFT2" s="85"/>
      <c r="PFU2" s="85"/>
      <c r="PFV2" s="85"/>
      <c r="PFW2" s="85"/>
      <c r="PFX2" s="85"/>
      <c r="PFY2" s="85"/>
      <c r="PFZ2" s="85"/>
      <c r="PGA2" s="85"/>
      <c r="PGB2" s="85"/>
      <c r="PGC2" s="85"/>
      <c r="PGD2" s="85"/>
      <c r="PGE2" s="85"/>
      <c r="PGF2" s="85"/>
      <c r="PGG2" s="85"/>
      <c r="PGH2" s="85"/>
      <c r="PGI2" s="85"/>
      <c r="PGJ2" s="85"/>
      <c r="PGK2" s="85"/>
      <c r="PGL2" s="85"/>
      <c r="PGM2" s="85"/>
      <c r="PGN2" s="85"/>
      <c r="PGO2" s="85"/>
      <c r="PGP2" s="85"/>
      <c r="PGQ2" s="85"/>
      <c r="PGR2" s="85"/>
      <c r="PGS2" s="85"/>
      <c r="PGT2" s="85"/>
      <c r="PGU2" s="85"/>
      <c r="PGV2" s="85"/>
      <c r="PGW2" s="85"/>
      <c r="PGX2" s="85"/>
      <c r="PGY2" s="85"/>
      <c r="PGZ2" s="85"/>
      <c r="PHA2" s="85"/>
      <c r="PHB2" s="85"/>
      <c r="PHC2" s="85"/>
      <c r="PHD2" s="85"/>
      <c r="PHE2" s="85"/>
      <c r="PHF2" s="85"/>
      <c r="PHG2" s="85"/>
      <c r="PHH2" s="85"/>
      <c r="PHI2" s="85"/>
      <c r="PHJ2" s="85"/>
      <c r="PHK2" s="85"/>
      <c r="PHL2" s="85"/>
      <c r="PHM2" s="85"/>
      <c r="PHN2" s="85"/>
      <c r="PHO2" s="85"/>
      <c r="PHP2" s="85"/>
      <c r="PHQ2" s="85"/>
      <c r="PHR2" s="85"/>
      <c r="PHS2" s="85"/>
      <c r="PHT2" s="85"/>
      <c r="PHU2" s="85"/>
      <c r="PHV2" s="85"/>
      <c r="PHW2" s="85"/>
      <c r="PHX2" s="85"/>
      <c r="PHY2" s="85"/>
      <c r="PHZ2" s="85"/>
      <c r="PIA2" s="85"/>
      <c r="PIB2" s="85"/>
      <c r="PIC2" s="85"/>
      <c r="PID2" s="85"/>
      <c r="PIE2" s="85"/>
      <c r="PIF2" s="85"/>
      <c r="PIG2" s="85"/>
      <c r="PIH2" s="85"/>
      <c r="PII2" s="85"/>
      <c r="PIJ2" s="85"/>
      <c r="PIK2" s="85"/>
      <c r="PIL2" s="85"/>
      <c r="PIM2" s="85"/>
      <c r="PIN2" s="85"/>
      <c r="PIO2" s="85"/>
      <c r="PIP2" s="85"/>
      <c r="PIQ2" s="85"/>
      <c r="PIR2" s="85"/>
      <c r="PIS2" s="85"/>
      <c r="PIT2" s="85"/>
      <c r="PIU2" s="85"/>
      <c r="PIV2" s="85"/>
      <c r="PIW2" s="85"/>
      <c r="PIX2" s="85"/>
      <c r="PIY2" s="85"/>
      <c r="PIZ2" s="85"/>
      <c r="PJA2" s="85"/>
      <c r="PJB2" s="85"/>
      <c r="PJC2" s="85"/>
      <c r="PJD2" s="85"/>
      <c r="PJE2" s="85"/>
      <c r="PJF2" s="85"/>
      <c r="PJG2" s="85"/>
      <c r="PJH2" s="85"/>
      <c r="PJI2" s="85"/>
      <c r="PJJ2" s="85"/>
      <c r="PJK2" s="85"/>
      <c r="PJL2" s="85"/>
      <c r="PJM2" s="85"/>
      <c r="PJN2" s="85"/>
      <c r="PJO2" s="85"/>
      <c r="PJP2" s="85"/>
      <c r="PJQ2" s="85"/>
      <c r="PJR2" s="85"/>
      <c r="PJS2" s="85"/>
      <c r="PJT2" s="85"/>
      <c r="PJU2" s="85"/>
      <c r="PJV2" s="85"/>
      <c r="PJW2" s="85"/>
      <c r="PJX2" s="85"/>
      <c r="PJY2" s="85"/>
      <c r="PJZ2" s="85"/>
      <c r="PKA2" s="85"/>
      <c r="PKB2" s="85"/>
      <c r="PKC2" s="85"/>
      <c r="PKD2" s="85"/>
      <c r="PKE2" s="85"/>
      <c r="PKF2" s="85"/>
      <c r="PKG2" s="85"/>
      <c r="PKH2" s="85"/>
      <c r="PKI2" s="85"/>
      <c r="PKJ2" s="85"/>
      <c r="PKK2" s="85"/>
      <c r="PKL2" s="85"/>
      <c r="PKM2" s="85"/>
      <c r="PKN2" s="85"/>
      <c r="PKO2" s="85"/>
      <c r="PKP2" s="85"/>
      <c r="PKQ2" s="85"/>
      <c r="PKR2" s="85"/>
      <c r="PKS2" s="85"/>
      <c r="PKT2" s="85"/>
      <c r="PKU2" s="85"/>
      <c r="PKV2" s="85"/>
      <c r="PKW2" s="85"/>
      <c r="PKX2" s="85"/>
      <c r="PKY2" s="85"/>
      <c r="PKZ2" s="85"/>
      <c r="PLA2" s="85"/>
      <c r="PLB2" s="85"/>
      <c r="PLC2" s="85"/>
      <c r="PLD2" s="85"/>
      <c r="PLE2" s="85"/>
      <c r="PLF2" s="85"/>
      <c r="PLG2" s="85"/>
      <c r="PLH2" s="85"/>
      <c r="PLI2" s="85"/>
      <c r="PLJ2" s="85"/>
      <c r="PLK2" s="85"/>
      <c r="PLL2" s="85"/>
      <c r="PLM2" s="85"/>
      <c r="PLN2" s="85"/>
      <c r="PLO2" s="85"/>
      <c r="PLP2" s="85"/>
      <c r="PLQ2" s="85"/>
      <c r="PLR2" s="85"/>
      <c r="PLS2" s="85"/>
      <c r="PLT2" s="85"/>
      <c r="PLU2" s="85"/>
      <c r="PLV2" s="85"/>
      <c r="PLW2" s="85"/>
      <c r="PLX2" s="85"/>
      <c r="PLY2" s="85"/>
      <c r="PLZ2" s="85"/>
      <c r="PMA2" s="85"/>
      <c r="PMB2" s="85"/>
      <c r="PMC2" s="85"/>
      <c r="PMD2" s="85"/>
      <c r="PME2" s="85"/>
      <c r="PMF2" s="85"/>
      <c r="PMG2" s="85"/>
      <c r="PMH2" s="85"/>
      <c r="PMI2" s="85"/>
      <c r="PMJ2" s="85"/>
      <c r="PMK2" s="85"/>
      <c r="PML2" s="85"/>
      <c r="PMM2" s="85"/>
      <c r="PMN2" s="85"/>
      <c r="PMO2" s="85"/>
      <c r="PMP2" s="85"/>
      <c r="PMQ2" s="85"/>
      <c r="PMR2" s="85"/>
      <c r="PMS2" s="85"/>
      <c r="PMT2" s="85"/>
      <c r="PMU2" s="85"/>
      <c r="PMV2" s="85"/>
      <c r="PMW2" s="85"/>
      <c r="PMX2" s="85"/>
      <c r="PMY2" s="85"/>
      <c r="PMZ2" s="85"/>
      <c r="PNA2" s="85"/>
      <c r="PNB2" s="85"/>
      <c r="PNC2" s="85"/>
      <c r="PND2" s="85"/>
      <c r="PNE2" s="85"/>
      <c r="PNF2" s="85"/>
      <c r="PNG2" s="85"/>
      <c r="PNH2" s="85"/>
      <c r="PNI2" s="85"/>
      <c r="PNJ2" s="85"/>
      <c r="PNK2" s="85"/>
      <c r="PNL2" s="85"/>
      <c r="PNM2" s="85"/>
      <c r="PNN2" s="85"/>
      <c r="PNO2" s="85"/>
      <c r="PNP2" s="85"/>
      <c r="PNQ2" s="85"/>
      <c r="PNR2" s="85"/>
      <c r="PNS2" s="85"/>
      <c r="PNT2" s="85"/>
      <c r="PNU2" s="85"/>
      <c r="PNV2" s="85"/>
      <c r="PNW2" s="85"/>
      <c r="PNX2" s="85"/>
      <c r="PNY2" s="85"/>
      <c r="PNZ2" s="85"/>
      <c r="POA2" s="85"/>
      <c r="POB2" s="85"/>
      <c r="POC2" s="85"/>
      <c r="POD2" s="85"/>
      <c r="POE2" s="85"/>
      <c r="POF2" s="85"/>
      <c r="POG2" s="85"/>
      <c r="POH2" s="85"/>
      <c r="POI2" s="85"/>
      <c r="POJ2" s="85"/>
      <c r="POK2" s="85"/>
      <c r="POL2" s="85"/>
      <c r="POM2" s="85"/>
      <c r="PON2" s="85"/>
      <c r="POO2" s="85"/>
      <c r="POP2" s="85"/>
      <c r="POQ2" s="85"/>
      <c r="POR2" s="85"/>
      <c r="POS2" s="85"/>
      <c r="POT2" s="85"/>
      <c r="POU2" s="85"/>
      <c r="POV2" s="85"/>
      <c r="POW2" s="85"/>
      <c r="POX2" s="85"/>
      <c r="POY2" s="85"/>
      <c r="POZ2" s="85"/>
      <c r="PPA2" s="85"/>
      <c r="PPB2" s="85"/>
      <c r="PPC2" s="85"/>
      <c r="PPD2" s="85"/>
      <c r="PPE2" s="85"/>
      <c r="PPF2" s="85"/>
      <c r="PPG2" s="85"/>
      <c r="PPH2" s="85"/>
      <c r="PPI2" s="85"/>
      <c r="PPJ2" s="85"/>
      <c r="PPK2" s="85"/>
      <c r="PPL2" s="85"/>
      <c r="PPM2" s="85"/>
      <c r="PPN2" s="85"/>
      <c r="PPO2" s="85"/>
      <c r="PPP2" s="85"/>
      <c r="PPQ2" s="85"/>
      <c r="PPR2" s="85"/>
      <c r="PPS2" s="85"/>
      <c r="PPT2" s="85"/>
      <c r="PPU2" s="85"/>
      <c r="PPV2" s="85"/>
      <c r="PPW2" s="85"/>
      <c r="PPX2" s="85"/>
      <c r="PPY2" s="85"/>
      <c r="PPZ2" s="85"/>
      <c r="PQA2" s="85"/>
      <c r="PQB2" s="85"/>
      <c r="PQC2" s="85"/>
      <c r="PQD2" s="85"/>
      <c r="PQE2" s="85"/>
      <c r="PQF2" s="85"/>
      <c r="PQG2" s="85"/>
      <c r="PQH2" s="85"/>
      <c r="PQI2" s="85"/>
      <c r="PQJ2" s="85"/>
      <c r="PQK2" s="85"/>
      <c r="PQL2" s="85"/>
      <c r="PQM2" s="85"/>
      <c r="PQN2" s="85"/>
      <c r="PQO2" s="85"/>
      <c r="PQP2" s="85"/>
      <c r="PQQ2" s="85"/>
      <c r="PQR2" s="85"/>
      <c r="PQS2" s="85"/>
      <c r="PQT2" s="85"/>
      <c r="PQU2" s="85"/>
      <c r="PQV2" s="85"/>
      <c r="PQW2" s="85"/>
      <c r="PQX2" s="85"/>
      <c r="PQY2" s="85"/>
      <c r="PQZ2" s="85"/>
      <c r="PRA2" s="85"/>
      <c r="PRB2" s="85"/>
      <c r="PRC2" s="85"/>
      <c r="PRD2" s="85"/>
      <c r="PRE2" s="85"/>
      <c r="PRF2" s="85"/>
      <c r="PRG2" s="85"/>
      <c r="PRH2" s="85"/>
      <c r="PRI2" s="85"/>
      <c r="PRJ2" s="85"/>
      <c r="PRK2" s="85"/>
      <c r="PRL2" s="85"/>
      <c r="PRM2" s="85"/>
      <c r="PRN2" s="85"/>
      <c r="PRO2" s="85"/>
      <c r="PRP2" s="85"/>
      <c r="PRQ2" s="85"/>
      <c r="PRR2" s="85"/>
      <c r="PRS2" s="85"/>
      <c r="PRT2" s="85"/>
      <c r="PRU2" s="85"/>
      <c r="PRV2" s="85"/>
      <c r="PRW2" s="85"/>
      <c r="PRX2" s="85"/>
      <c r="PRY2" s="85"/>
      <c r="PRZ2" s="85"/>
      <c r="PSA2" s="85"/>
      <c r="PSB2" s="85"/>
      <c r="PSC2" s="85"/>
      <c r="PSD2" s="85"/>
      <c r="PSE2" s="85"/>
      <c r="PSF2" s="85"/>
      <c r="PSG2" s="85"/>
      <c r="PSH2" s="85"/>
      <c r="PSI2" s="85"/>
      <c r="PSJ2" s="85"/>
      <c r="PSK2" s="85"/>
      <c r="PSL2" s="85"/>
      <c r="PSM2" s="85"/>
      <c r="PSN2" s="85"/>
      <c r="PSO2" s="85"/>
      <c r="PSP2" s="85"/>
      <c r="PSQ2" s="85"/>
      <c r="PSR2" s="85"/>
      <c r="PSS2" s="85"/>
      <c r="PST2" s="85"/>
      <c r="PSU2" s="85"/>
      <c r="PSV2" s="85"/>
      <c r="PSW2" s="85"/>
      <c r="PSX2" s="85"/>
      <c r="PSY2" s="85"/>
      <c r="PSZ2" s="85"/>
      <c r="PTA2" s="85"/>
      <c r="PTB2" s="85"/>
      <c r="PTC2" s="85"/>
      <c r="PTD2" s="85"/>
      <c r="PTE2" s="85"/>
      <c r="PTF2" s="85"/>
      <c r="PTG2" s="85"/>
      <c r="PTH2" s="85"/>
      <c r="PTI2" s="85"/>
      <c r="PTJ2" s="85"/>
      <c r="PTK2" s="85"/>
      <c r="PTL2" s="85"/>
      <c r="PTM2" s="85"/>
      <c r="PTN2" s="85"/>
      <c r="PTO2" s="85"/>
      <c r="PTP2" s="85"/>
      <c r="PTQ2" s="85"/>
      <c r="PTR2" s="85"/>
      <c r="PTS2" s="85"/>
      <c r="PTT2" s="85"/>
      <c r="PTU2" s="85"/>
      <c r="PTV2" s="85"/>
      <c r="PTW2" s="85"/>
      <c r="PTX2" s="85"/>
      <c r="PTY2" s="85"/>
      <c r="PTZ2" s="85"/>
      <c r="PUA2" s="85"/>
      <c r="PUB2" s="85"/>
      <c r="PUC2" s="85"/>
      <c r="PUD2" s="85"/>
      <c r="PUE2" s="85"/>
      <c r="PUF2" s="85"/>
      <c r="PUG2" s="85"/>
      <c r="PUH2" s="85"/>
      <c r="PUI2" s="85"/>
      <c r="PUJ2" s="85"/>
      <c r="PUK2" s="85"/>
      <c r="PUL2" s="85"/>
      <c r="PUM2" s="85"/>
      <c r="PUN2" s="85"/>
      <c r="PUO2" s="85"/>
      <c r="PUP2" s="85"/>
      <c r="PUQ2" s="85"/>
      <c r="PUR2" s="85"/>
      <c r="PUS2" s="85"/>
      <c r="PUT2" s="85"/>
      <c r="PUU2" s="85"/>
      <c r="PUV2" s="85"/>
      <c r="PUW2" s="85"/>
      <c r="PUX2" s="85"/>
      <c r="PUY2" s="85"/>
      <c r="PUZ2" s="85"/>
      <c r="PVA2" s="85"/>
      <c r="PVB2" s="85"/>
      <c r="PVC2" s="85"/>
      <c r="PVD2" s="85"/>
      <c r="PVE2" s="85"/>
      <c r="PVF2" s="85"/>
      <c r="PVG2" s="85"/>
      <c r="PVH2" s="85"/>
      <c r="PVI2" s="85"/>
      <c r="PVJ2" s="85"/>
      <c r="PVK2" s="85"/>
      <c r="PVL2" s="85"/>
      <c r="PVM2" s="85"/>
      <c r="PVN2" s="85"/>
      <c r="PVO2" s="85"/>
      <c r="PVP2" s="85"/>
      <c r="PVQ2" s="85"/>
      <c r="PVR2" s="85"/>
      <c r="PVS2" s="85"/>
      <c r="PVT2" s="85"/>
      <c r="PVU2" s="85"/>
      <c r="PVV2" s="85"/>
      <c r="PVW2" s="85"/>
      <c r="PVX2" s="85"/>
      <c r="PVY2" s="85"/>
      <c r="PVZ2" s="85"/>
      <c r="PWA2" s="85"/>
      <c r="PWB2" s="85"/>
      <c r="PWC2" s="85"/>
      <c r="PWD2" s="85"/>
      <c r="PWE2" s="85"/>
      <c r="PWF2" s="85"/>
      <c r="PWG2" s="85"/>
      <c r="PWH2" s="85"/>
      <c r="PWI2" s="85"/>
      <c r="PWJ2" s="85"/>
      <c r="PWK2" s="85"/>
      <c r="PWL2" s="85"/>
      <c r="PWM2" s="85"/>
      <c r="PWN2" s="85"/>
      <c r="PWO2" s="85"/>
      <c r="PWP2" s="85"/>
      <c r="PWQ2" s="85"/>
      <c r="PWR2" s="85"/>
      <c r="PWS2" s="85"/>
      <c r="PWT2" s="85"/>
      <c r="PWU2" s="85"/>
      <c r="PWV2" s="85"/>
      <c r="PWW2" s="85"/>
      <c r="PWX2" s="85"/>
      <c r="PWY2" s="85"/>
      <c r="PWZ2" s="85"/>
      <c r="PXA2" s="85"/>
      <c r="PXB2" s="85"/>
      <c r="PXC2" s="85"/>
      <c r="PXD2" s="85"/>
      <c r="PXE2" s="85"/>
      <c r="PXF2" s="85"/>
      <c r="PXG2" s="85"/>
      <c r="PXH2" s="85"/>
      <c r="PXI2" s="85"/>
      <c r="PXJ2" s="85"/>
      <c r="PXK2" s="85"/>
      <c r="PXL2" s="85"/>
      <c r="PXM2" s="85"/>
      <c r="PXN2" s="85"/>
      <c r="PXO2" s="85"/>
      <c r="PXP2" s="85"/>
      <c r="PXQ2" s="85"/>
      <c r="PXR2" s="85"/>
      <c r="PXS2" s="85"/>
      <c r="PXT2" s="85"/>
      <c r="PXU2" s="85"/>
      <c r="PXV2" s="85"/>
      <c r="PXW2" s="85"/>
      <c r="PXX2" s="85"/>
      <c r="PXY2" s="85"/>
      <c r="PXZ2" s="85"/>
      <c r="PYA2" s="85"/>
      <c r="PYB2" s="85"/>
      <c r="PYC2" s="85"/>
      <c r="PYD2" s="85"/>
      <c r="PYE2" s="85"/>
      <c r="PYF2" s="85"/>
      <c r="PYG2" s="85"/>
      <c r="PYH2" s="85"/>
      <c r="PYI2" s="85"/>
      <c r="PYJ2" s="85"/>
      <c r="PYK2" s="85"/>
      <c r="PYL2" s="85"/>
      <c r="PYM2" s="85"/>
      <c r="PYN2" s="85"/>
      <c r="PYO2" s="85"/>
      <c r="PYP2" s="85"/>
      <c r="PYQ2" s="85"/>
      <c r="PYR2" s="85"/>
      <c r="PYS2" s="85"/>
      <c r="PYT2" s="85"/>
      <c r="PYU2" s="85"/>
      <c r="PYV2" s="85"/>
      <c r="PYW2" s="85"/>
      <c r="PYX2" s="85"/>
      <c r="PYY2" s="85"/>
      <c r="PYZ2" s="85"/>
      <c r="PZA2" s="85"/>
      <c r="PZB2" s="85"/>
      <c r="PZC2" s="85"/>
      <c r="PZD2" s="85"/>
      <c r="PZE2" s="85"/>
      <c r="PZF2" s="85"/>
      <c r="PZG2" s="85"/>
      <c r="PZH2" s="85"/>
      <c r="PZI2" s="85"/>
      <c r="PZJ2" s="85"/>
      <c r="PZK2" s="85"/>
      <c r="PZL2" s="85"/>
      <c r="PZM2" s="85"/>
      <c r="PZN2" s="85"/>
      <c r="PZO2" s="85"/>
      <c r="PZP2" s="85"/>
      <c r="PZQ2" s="85"/>
      <c r="PZR2" s="85"/>
      <c r="PZS2" s="85"/>
      <c r="PZT2" s="85"/>
      <c r="PZU2" s="85"/>
      <c r="PZV2" s="85"/>
      <c r="PZW2" s="85"/>
      <c r="PZX2" s="85"/>
      <c r="PZY2" s="85"/>
      <c r="PZZ2" s="85"/>
      <c r="QAA2" s="85"/>
      <c r="QAB2" s="85"/>
      <c r="QAC2" s="85"/>
      <c r="QAD2" s="85"/>
      <c r="QAE2" s="85"/>
      <c r="QAF2" s="85"/>
      <c r="QAG2" s="85"/>
      <c r="QAH2" s="85"/>
      <c r="QAI2" s="85"/>
      <c r="QAJ2" s="85"/>
      <c r="QAK2" s="85"/>
      <c r="QAL2" s="85"/>
      <c r="QAM2" s="85"/>
      <c r="QAN2" s="85"/>
      <c r="QAO2" s="85"/>
      <c r="QAP2" s="85"/>
      <c r="QAQ2" s="85"/>
      <c r="QAR2" s="85"/>
      <c r="QAS2" s="85"/>
      <c r="QAT2" s="85"/>
      <c r="QAU2" s="85"/>
      <c r="QAV2" s="85"/>
      <c r="QAW2" s="85"/>
      <c r="QAX2" s="85"/>
      <c r="QAY2" s="85"/>
      <c r="QAZ2" s="85"/>
      <c r="QBA2" s="85"/>
      <c r="QBB2" s="85"/>
      <c r="QBC2" s="85"/>
      <c r="QBD2" s="85"/>
      <c r="QBE2" s="85"/>
      <c r="QBF2" s="85"/>
      <c r="QBG2" s="85"/>
      <c r="QBH2" s="85"/>
      <c r="QBI2" s="85"/>
      <c r="QBJ2" s="85"/>
      <c r="QBK2" s="85"/>
      <c r="QBL2" s="85"/>
      <c r="QBM2" s="85"/>
      <c r="QBN2" s="85"/>
      <c r="QBO2" s="85"/>
      <c r="QBP2" s="85"/>
      <c r="QBQ2" s="85"/>
      <c r="QBR2" s="85"/>
      <c r="QBS2" s="85"/>
      <c r="QBT2" s="85"/>
      <c r="QBU2" s="85"/>
      <c r="QBV2" s="85"/>
      <c r="QBW2" s="85"/>
      <c r="QBX2" s="85"/>
      <c r="QBY2" s="85"/>
      <c r="QBZ2" s="85"/>
      <c r="QCA2" s="85"/>
      <c r="QCB2" s="85"/>
      <c r="QCC2" s="85"/>
      <c r="QCD2" s="85"/>
      <c r="QCE2" s="85"/>
      <c r="QCF2" s="85"/>
      <c r="QCG2" s="85"/>
      <c r="QCH2" s="85"/>
      <c r="QCI2" s="85"/>
      <c r="QCJ2" s="85"/>
      <c r="QCK2" s="85"/>
      <c r="QCL2" s="85"/>
      <c r="QCM2" s="85"/>
      <c r="QCN2" s="85"/>
      <c r="QCO2" s="85"/>
      <c r="QCP2" s="85"/>
      <c r="QCQ2" s="85"/>
      <c r="QCR2" s="85"/>
      <c r="QCS2" s="85"/>
      <c r="QCT2" s="85"/>
      <c r="QCU2" s="85"/>
      <c r="QCV2" s="85"/>
      <c r="QCW2" s="85"/>
      <c r="QCX2" s="85"/>
      <c r="QCY2" s="85"/>
      <c r="QCZ2" s="85"/>
      <c r="QDA2" s="85"/>
      <c r="QDB2" s="85"/>
      <c r="QDC2" s="85"/>
      <c r="QDD2" s="85"/>
      <c r="QDE2" s="85"/>
      <c r="QDF2" s="85"/>
      <c r="QDG2" s="85"/>
      <c r="QDH2" s="85"/>
      <c r="QDI2" s="85"/>
      <c r="QDJ2" s="85"/>
      <c r="QDK2" s="85"/>
      <c r="QDL2" s="85"/>
      <c r="QDM2" s="85"/>
      <c r="QDN2" s="85"/>
      <c r="QDO2" s="85"/>
      <c r="QDP2" s="85"/>
      <c r="QDQ2" s="85"/>
      <c r="QDR2" s="85"/>
      <c r="QDS2" s="85"/>
      <c r="QDT2" s="85"/>
      <c r="QDU2" s="85"/>
      <c r="QDV2" s="85"/>
      <c r="QDW2" s="85"/>
      <c r="QDX2" s="85"/>
      <c r="QDY2" s="85"/>
      <c r="QDZ2" s="85"/>
      <c r="QEA2" s="85"/>
      <c r="QEB2" s="85"/>
      <c r="QEC2" s="85"/>
      <c r="QED2" s="85"/>
      <c r="QEE2" s="85"/>
      <c r="QEF2" s="85"/>
      <c r="QEG2" s="85"/>
      <c r="QEH2" s="85"/>
      <c r="QEI2" s="85"/>
      <c r="QEJ2" s="85"/>
      <c r="QEK2" s="85"/>
      <c r="QEL2" s="85"/>
      <c r="QEM2" s="85"/>
      <c r="QEN2" s="85"/>
      <c r="QEO2" s="85"/>
      <c r="QEP2" s="85"/>
      <c r="QEQ2" s="85"/>
      <c r="QER2" s="85"/>
      <c r="QES2" s="85"/>
      <c r="QET2" s="85"/>
      <c r="QEU2" s="85"/>
      <c r="QEV2" s="85"/>
      <c r="QEW2" s="85"/>
      <c r="QEX2" s="85"/>
      <c r="QEY2" s="85"/>
      <c r="QEZ2" s="85"/>
      <c r="QFA2" s="85"/>
      <c r="QFB2" s="85"/>
      <c r="QFC2" s="85"/>
      <c r="QFD2" s="85"/>
      <c r="QFE2" s="85"/>
      <c r="QFF2" s="85"/>
      <c r="QFG2" s="85"/>
      <c r="QFH2" s="85"/>
      <c r="QFI2" s="85"/>
      <c r="QFJ2" s="85"/>
      <c r="QFK2" s="85"/>
      <c r="QFL2" s="85"/>
      <c r="QFM2" s="85"/>
      <c r="QFN2" s="85"/>
      <c r="QFO2" s="85"/>
      <c r="QFP2" s="85"/>
      <c r="QFQ2" s="85"/>
      <c r="QFR2" s="85"/>
      <c r="QFS2" s="85"/>
      <c r="QFT2" s="85"/>
      <c r="QFU2" s="85"/>
      <c r="QFV2" s="85"/>
      <c r="QFW2" s="85"/>
      <c r="QFX2" s="85"/>
      <c r="QFY2" s="85"/>
      <c r="QFZ2" s="85"/>
      <c r="QGA2" s="85"/>
      <c r="QGB2" s="85"/>
      <c r="QGC2" s="85"/>
      <c r="QGD2" s="85"/>
      <c r="QGE2" s="85"/>
      <c r="QGF2" s="85"/>
      <c r="QGG2" s="85"/>
      <c r="QGH2" s="85"/>
      <c r="QGI2" s="85"/>
      <c r="QGJ2" s="85"/>
      <c r="QGK2" s="85"/>
      <c r="QGL2" s="85"/>
      <c r="QGM2" s="85"/>
      <c r="QGN2" s="85"/>
      <c r="QGO2" s="85"/>
      <c r="QGP2" s="85"/>
      <c r="QGQ2" s="85"/>
      <c r="QGR2" s="85"/>
      <c r="QGS2" s="85"/>
      <c r="QGT2" s="85"/>
      <c r="QGU2" s="85"/>
      <c r="QGV2" s="85"/>
      <c r="QGW2" s="85"/>
      <c r="QGX2" s="85"/>
      <c r="QGY2" s="85"/>
      <c r="QGZ2" s="85"/>
      <c r="QHA2" s="85"/>
      <c r="QHB2" s="85"/>
      <c r="QHC2" s="85"/>
      <c r="QHD2" s="85"/>
      <c r="QHE2" s="85"/>
      <c r="QHF2" s="85"/>
      <c r="QHG2" s="85"/>
      <c r="QHH2" s="85"/>
      <c r="QHI2" s="85"/>
      <c r="QHJ2" s="85"/>
      <c r="QHK2" s="85"/>
      <c r="QHL2" s="85"/>
      <c r="QHM2" s="85"/>
      <c r="QHN2" s="85"/>
      <c r="QHO2" s="85"/>
      <c r="QHP2" s="85"/>
      <c r="QHQ2" s="85"/>
      <c r="QHR2" s="85"/>
      <c r="QHS2" s="85"/>
      <c r="QHT2" s="85"/>
      <c r="QHU2" s="85"/>
      <c r="QHV2" s="85"/>
      <c r="QHW2" s="85"/>
      <c r="QHX2" s="85"/>
      <c r="QHY2" s="85"/>
      <c r="QHZ2" s="85"/>
      <c r="QIA2" s="85"/>
      <c r="QIB2" s="85"/>
      <c r="QIC2" s="85"/>
      <c r="QID2" s="85"/>
      <c r="QIE2" s="85"/>
      <c r="QIF2" s="85"/>
      <c r="QIG2" s="85"/>
      <c r="QIH2" s="85"/>
      <c r="QII2" s="85"/>
      <c r="QIJ2" s="85"/>
      <c r="QIK2" s="85"/>
      <c r="QIL2" s="85"/>
      <c r="QIM2" s="85"/>
      <c r="QIN2" s="85"/>
      <c r="QIO2" s="85"/>
      <c r="QIP2" s="85"/>
      <c r="QIQ2" s="85"/>
      <c r="QIR2" s="85"/>
      <c r="QIS2" s="85"/>
      <c r="QIT2" s="85"/>
      <c r="QIU2" s="85"/>
      <c r="QIV2" s="85"/>
      <c r="QIW2" s="85"/>
      <c r="QIX2" s="85"/>
      <c r="QIY2" s="85"/>
      <c r="QIZ2" s="85"/>
      <c r="QJA2" s="85"/>
      <c r="QJB2" s="85"/>
      <c r="QJC2" s="85"/>
      <c r="QJD2" s="85"/>
      <c r="QJE2" s="85"/>
      <c r="QJF2" s="85"/>
      <c r="QJG2" s="85"/>
      <c r="QJH2" s="85"/>
      <c r="QJI2" s="85"/>
      <c r="QJJ2" s="85"/>
      <c r="QJK2" s="85"/>
      <c r="QJL2" s="85"/>
      <c r="QJM2" s="85"/>
      <c r="QJN2" s="85"/>
      <c r="QJO2" s="85"/>
      <c r="QJP2" s="85"/>
      <c r="QJQ2" s="85"/>
      <c r="QJR2" s="85"/>
      <c r="QJS2" s="85"/>
      <c r="QJT2" s="85"/>
      <c r="QJU2" s="85"/>
      <c r="QJV2" s="85"/>
      <c r="QJW2" s="85"/>
      <c r="QJX2" s="85"/>
      <c r="QJY2" s="85"/>
      <c r="QJZ2" s="85"/>
      <c r="QKA2" s="85"/>
      <c r="QKB2" s="85"/>
      <c r="QKC2" s="85"/>
      <c r="QKD2" s="85"/>
      <c r="QKE2" s="85"/>
      <c r="QKF2" s="85"/>
      <c r="QKG2" s="85"/>
      <c r="QKH2" s="85"/>
      <c r="QKI2" s="85"/>
      <c r="QKJ2" s="85"/>
      <c r="QKK2" s="85"/>
      <c r="QKL2" s="85"/>
      <c r="QKM2" s="85"/>
      <c r="QKN2" s="85"/>
      <c r="QKO2" s="85"/>
      <c r="QKP2" s="85"/>
      <c r="QKQ2" s="85"/>
      <c r="QKR2" s="85"/>
      <c r="QKS2" s="85"/>
      <c r="QKT2" s="85"/>
      <c r="QKU2" s="85"/>
      <c r="QKV2" s="85"/>
      <c r="QKW2" s="85"/>
      <c r="QKX2" s="85"/>
      <c r="QKY2" s="85"/>
      <c r="QKZ2" s="85"/>
      <c r="QLA2" s="85"/>
      <c r="QLB2" s="85"/>
      <c r="QLC2" s="85"/>
      <c r="QLD2" s="85"/>
      <c r="QLE2" s="85"/>
      <c r="QLF2" s="85"/>
      <c r="QLG2" s="85"/>
      <c r="QLH2" s="85"/>
      <c r="QLI2" s="85"/>
      <c r="QLJ2" s="85"/>
      <c r="QLK2" s="85"/>
      <c r="QLL2" s="85"/>
      <c r="QLM2" s="85"/>
      <c r="QLN2" s="85"/>
      <c r="QLO2" s="85"/>
      <c r="QLP2" s="85"/>
      <c r="QLQ2" s="85"/>
      <c r="QLR2" s="85"/>
      <c r="QLS2" s="85"/>
      <c r="QLT2" s="85"/>
      <c r="QLU2" s="85"/>
      <c r="QLV2" s="85"/>
      <c r="QLW2" s="85"/>
      <c r="QLX2" s="85"/>
      <c r="QLY2" s="85"/>
      <c r="QLZ2" s="85"/>
      <c r="QMA2" s="85"/>
      <c r="QMB2" s="85"/>
      <c r="QMC2" s="85"/>
      <c r="QMD2" s="85"/>
      <c r="QME2" s="85"/>
      <c r="QMF2" s="85"/>
      <c r="QMG2" s="85"/>
      <c r="QMH2" s="85"/>
      <c r="QMI2" s="85"/>
      <c r="QMJ2" s="85"/>
      <c r="QMK2" s="85"/>
      <c r="QML2" s="85"/>
      <c r="QMM2" s="85"/>
      <c r="QMN2" s="85"/>
      <c r="QMO2" s="85"/>
      <c r="QMP2" s="85"/>
      <c r="QMQ2" s="85"/>
      <c r="QMR2" s="85"/>
      <c r="QMS2" s="85"/>
      <c r="QMT2" s="85"/>
      <c r="QMU2" s="85"/>
      <c r="QMV2" s="85"/>
      <c r="QMW2" s="85"/>
      <c r="QMX2" s="85"/>
      <c r="QMY2" s="85"/>
      <c r="QMZ2" s="85"/>
      <c r="QNA2" s="85"/>
      <c r="QNB2" s="85"/>
      <c r="QNC2" s="85"/>
      <c r="QND2" s="85"/>
      <c r="QNE2" s="85"/>
      <c r="QNF2" s="85"/>
      <c r="QNG2" s="85"/>
      <c r="QNH2" s="85"/>
      <c r="QNI2" s="85"/>
      <c r="QNJ2" s="85"/>
      <c r="QNK2" s="85"/>
      <c r="QNL2" s="85"/>
      <c r="QNM2" s="85"/>
      <c r="QNN2" s="85"/>
      <c r="QNO2" s="85"/>
      <c r="QNP2" s="85"/>
      <c r="QNQ2" s="85"/>
      <c r="QNR2" s="85"/>
      <c r="QNS2" s="85"/>
      <c r="QNT2" s="85"/>
      <c r="QNU2" s="85"/>
      <c r="QNV2" s="85"/>
      <c r="QNW2" s="85"/>
      <c r="QNX2" s="85"/>
      <c r="QNY2" s="85"/>
      <c r="QNZ2" s="85"/>
      <c r="QOA2" s="85"/>
      <c r="QOB2" s="85"/>
      <c r="QOC2" s="85"/>
      <c r="QOD2" s="85"/>
      <c r="QOE2" s="85"/>
      <c r="QOF2" s="85"/>
      <c r="QOG2" s="85"/>
      <c r="QOH2" s="85"/>
      <c r="QOI2" s="85"/>
      <c r="QOJ2" s="85"/>
      <c r="QOK2" s="85"/>
      <c r="QOL2" s="85"/>
      <c r="QOM2" s="85"/>
      <c r="QON2" s="85"/>
      <c r="QOO2" s="85"/>
      <c r="QOP2" s="85"/>
      <c r="QOQ2" s="85"/>
      <c r="QOR2" s="85"/>
      <c r="QOS2" s="85"/>
      <c r="QOT2" s="85"/>
      <c r="QOU2" s="85"/>
      <c r="QOV2" s="85"/>
      <c r="QOW2" s="85"/>
      <c r="QOX2" s="85"/>
      <c r="QOY2" s="85"/>
      <c r="QOZ2" s="85"/>
      <c r="QPA2" s="85"/>
      <c r="QPB2" s="85"/>
      <c r="QPC2" s="85"/>
      <c r="QPD2" s="85"/>
      <c r="QPE2" s="85"/>
      <c r="QPF2" s="85"/>
      <c r="QPG2" s="85"/>
      <c r="QPH2" s="85"/>
      <c r="QPI2" s="85"/>
      <c r="QPJ2" s="85"/>
      <c r="QPK2" s="85"/>
      <c r="QPL2" s="85"/>
      <c r="QPM2" s="85"/>
      <c r="QPN2" s="85"/>
      <c r="QPO2" s="85"/>
      <c r="QPP2" s="85"/>
      <c r="QPQ2" s="85"/>
      <c r="QPR2" s="85"/>
      <c r="QPS2" s="85"/>
      <c r="QPT2" s="85"/>
      <c r="QPU2" s="85"/>
      <c r="QPV2" s="85"/>
      <c r="QPW2" s="85"/>
      <c r="QPX2" s="85"/>
      <c r="QPY2" s="85"/>
      <c r="QPZ2" s="85"/>
      <c r="QQA2" s="85"/>
      <c r="QQB2" s="85"/>
      <c r="QQC2" s="85"/>
      <c r="QQD2" s="85"/>
      <c r="QQE2" s="85"/>
      <c r="QQF2" s="85"/>
      <c r="QQG2" s="85"/>
      <c r="QQH2" s="85"/>
      <c r="QQI2" s="85"/>
      <c r="QQJ2" s="85"/>
      <c r="QQK2" s="85"/>
      <c r="QQL2" s="85"/>
      <c r="QQM2" s="85"/>
      <c r="QQN2" s="85"/>
      <c r="QQO2" s="85"/>
      <c r="QQP2" s="85"/>
      <c r="QQQ2" s="85"/>
      <c r="QQR2" s="85"/>
      <c r="QQS2" s="85"/>
      <c r="QQT2" s="85"/>
      <c r="QQU2" s="85"/>
      <c r="QQV2" s="85"/>
      <c r="QQW2" s="85"/>
      <c r="QQX2" s="85"/>
      <c r="QQY2" s="85"/>
      <c r="QQZ2" s="85"/>
      <c r="QRA2" s="85"/>
      <c r="QRB2" s="85"/>
      <c r="QRC2" s="85"/>
      <c r="QRD2" s="85"/>
      <c r="QRE2" s="85"/>
      <c r="QRF2" s="85"/>
      <c r="QRG2" s="85"/>
      <c r="QRH2" s="85"/>
      <c r="QRI2" s="85"/>
      <c r="QRJ2" s="85"/>
      <c r="QRK2" s="85"/>
      <c r="QRL2" s="85"/>
      <c r="QRM2" s="85"/>
      <c r="QRN2" s="85"/>
      <c r="QRO2" s="85"/>
      <c r="QRP2" s="85"/>
      <c r="QRQ2" s="85"/>
      <c r="QRR2" s="85"/>
      <c r="QRS2" s="85"/>
      <c r="QRT2" s="85"/>
      <c r="QRU2" s="85"/>
      <c r="QRV2" s="85"/>
      <c r="QRW2" s="85"/>
      <c r="QRX2" s="85"/>
      <c r="QRY2" s="85"/>
      <c r="QRZ2" s="85"/>
      <c r="QSA2" s="85"/>
      <c r="QSB2" s="85"/>
      <c r="QSC2" s="85"/>
      <c r="QSD2" s="85"/>
      <c r="QSE2" s="85"/>
      <c r="QSF2" s="85"/>
      <c r="QSG2" s="85"/>
      <c r="QSH2" s="85"/>
      <c r="QSI2" s="85"/>
      <c r="QSJ2" s="85"/>
      <c r="QSK2" s="85"/>
      <c r="QSL2" s="85"/>
      <c r="QSM2" s="85"/>
      <c r="QSN2" s="85"/>
      <c r="QSO2" s="85"/>
      <c r="QSP2" s="85"/>
      <c r="QSQ2" s="85"/>
      <c r="QSR2" s="85"/>
      <c r="QSS2" s="85"/>
      <c r="QST2" s="85"/>
      <c r="QSU2" s="85"/>
      <c r="QSV2" s="85"/>
      <c r="QSW2" s="85"/>
      <c r="QSX2" s="85"/>
      <c r="QSY2" s="85"/>
      <c r="QSZ2" s="85"/>
      <c r="QTA2" s="85"/>
      <c r="QTB2" s="85"/>
      <c r="QTC2" s="85"/>
      <c r="QTD2" s="85"/>
      <c r="QTE2" s="85"/>
      <c r="QTF2" s="85"/>
      <c r="QTG2" s="85"/>
      <c r="QTH2" s="85"/>
      <c r="QTI2" s="85"/>
      <c r="QTJ2" s="85"/>
      <c r="QTK2" s="85"/>
      <c r="QTL2" s="85"/>
      <c r="QTM2" s="85"/>
      <c r="QTN2" s="85"/>
      <c r="QTO2" s="85"/>
      <c r="QTP2" s="85"/>
      <c r="QTQ2" s="85"/>
      <c r="QTR2" s="85"/>
      <c r="QTS2" s="85"/>
      <c r="QTT2" s="85"/>
      <c r="QTU2" s="85"/>
      <c r="QTV2" s="85"/>
      <c r="QTW2" s="85"/>
      <c r="QTX2" s="85"/>
      <c r="QTY2" s="85"/>
      <c r="QTZ2" s="85"/>
      <c r="QUA2" s="85"/>
      <c r="QUB2" s="85"/>
      <c r="QUC2" s="85"/>
      <c r="QUD2" s="85"/>
      <c r="QUE2" s="85"/>
      <c r="QUF2" s="85"/>
      <c r="QUG2" s="85"/>
      <c r="QUH2" s="85"/>
      <c r="QUI2" s="85"/>
      <c r="QUJ2" s="85"/>
      <c r="QUK2" s="85"/>
      <c r="QUL2" s="85"/>
      <c r="QUM2" s="85"/>
      <c r="QUN2" s="85"/>
      <c r="QUO2" s="85"/>
      <c r="QUP2" s="85"/>
      <c r="QUQ2" s="85"/>
      <c r="QUR2" s="85"/>
      <c r="QUS2" s="85"/>
      <c r="QUT2" s="85"/>
      <c r="QUU2" s="85"/>
      <c r="QUV2" s="85"/>
      <c r="QUW2" s="85"/>
      <c r="QUX2" s="85"/>
      <c r="QUY2" s="85"/>
      <c r="QUZ2" s="85"/>
      <c r="QVA2" s="85"/>
      <c r="QVB2" s="85"/>
      <c r="QVC2" s="85"/>
      <c r="QVD2" s="85"/>
      <c r="QVE2" s="85"/>
      <c r="QVF2" s="85"/>
      <c r="QVG2" s="85"/>
      <c r="QVH2" s="85"/>
      <c r="QVI2" s="85"/>
      <c r="QVJ2" s="85"/>
      <c r="QVK2" s="85"/>
      <c r="QVL2" s="85"/>
      <c r="QVM2" s="85"/>
      <c r="QVN2" s="85"/>
      <c r="QVO2" s="85"/>
      <c r="QVP2" s="85"/>
      <c r="QVQ2" s="85"/>
      <c r="QVR2" s="85"/>
      <c r="QVS2" s="85"/>
      <c r="QVT2" s="85"/>
      <c r="QVU2" s="85"/>
      <c r="QVV2" s="85"/>
      <c r="QVW2" s="85"/>
      <c r="QVX2" s="85"/>
      <c r="QVY2" s="85"/>
      <c r="QVZ2" s="85"/>
      <c r="QWA2" s="85"/>
      <c r="QWB2" s="85"/>
      <c r="QWC2" s="85"/>
      <c r="QWD2" s="85"/>
      <c r="QWE2" s="85"/>
      <c r="QWF2" s="85"/>
      <c r="QWG2" s="85"/>
      <c r="QWH2" s="85"/>
      <c r="QWI2" s="85"/>
      <c r="QWJ2" s="85"/>
      <c r="QWK2" s="85"/>
      <c r="QWL2" s="85"/>
      <c r="QWM2" s="85"/>
      <c r="QWN2" s="85"/>
      <c r="QWO2" s="85"/>
      <c r="QWP2" s="85"/>
      <c r="QWQ2" s="85"/>
      <c r="QWR2" s="85"/>
      <c r="QWS2" s="85"/>
      <c r="QWT2" s="85"/>
      <c r="QWU2" s="85"/>
      <c r="QWV2" s="85"/>
      <c r="QWW2" s="85"/>
      <c r="QWX2" s="85"/>
      <c r="QWY2" s="85"/>
      <c r="QWZ2" s="85"/>
      <c r="QXA2" s="85"/>
      <c r="QXB2" s="85"/>
      <c r="QXC2" s="85"/>
      <c r="QXD2" s="85"/>
      <c r="QXE2" s="85"/>
      <c r="QXF2" s="85"/>
      <c r="QXG2" s="85"/>
      <c r="QXH2" s="85"/>
      <c r="QXI2" s="85"/>
      <c r="QXJ2" s="85"/>
      <c r="QXK2" s="85"/>
      <c r="QXL2" s="85"/>
      <c r="QXM2" s="85"/>
      <c r="QXN2" s="85"/>
      <c r="QXO2" s="85"/>
      <c r="QXP2" s="85"/>
      <c r="QXQ2" s="85"/>
      <c r="QXR2" s="85"/>
      <c r="QXS2" s="85"/>
      <c r="QXT2" s="85"/>
      <c r="QXU2" s="85"/>
      <c r="QXV2" s="85"/>
      <c r="QXW2" s="85"/>
      <c r="QXX2" s="85"/>
      <c r="QXY2" s="85"/>
      <c r="QXZ2" s="85"/>
      <c r="QYA2" s="85"/>
      <c r="QYB2" s="85"/>
      <c r="QYC2" s="85"/>
      <c r="QYD2" s="85"/>
      <c r="QYE2" s="85"/>
      <c r="QYF2" s="85"/>
      <c r="QYG2" s="85"/>
      <c r="QYH2" s="85"/>
      <c r="QYI2" s="85"/>
      <c r="QYJ2" s="85"/>
      <c r="QYK2" s="85"/>
      <c r="QYL2" s="85"/>
      <c r="QYM2" s="85"/>
      <c r="QYN2" s="85"/>
      <c r="QYO2" s="85"/>
      <c r="QYP2" s="85"/>
      <c r="QYQ2" s="85"/>
      <c r="QYR2" s="85"/>
      <c r="QYS2" s="85"/>
      <c r="QYT2" s="85"/>
      <c r="QYU2" s="85"/>
      <c r="QYV2" s="85"/>
      <c r="QYW2" s="85"/>
      <c r="QYX2" s="85"/>
      <c r="QYY2" s="85"/>
      <c r="QYZ2" s="85"/>
      <c r="QZA2" s="85"/>
      <c r="QZB2" s="85"/>
      <c r="QZC2" s="85"/>
      <c r="QZD2" s="85"/>
      <c r="QZE2" s="85"/>
      <c r="QZF2" s="85"/>
      <c r="QZG2" s="85"/>
      <c r="QZH2" s="85"/>
      <c r="QZI2" s="85"/>
      <c r="QZJ2" s="85"/>
      <c r="QZK2" s="85"/>
      <c r="QZL2" s="85"/>
      <c r="QZM2" s="85"/>
      <c r="QZN2" s="85"/>
      <c r="QZO2" s="85"/>
      <c r="QZP2" s="85"/>
      <c r="QZQ2" s="85"/>
      <c r="QZR2" s="85"/>
      <c r="QZS2" s="85"/>
      <c r="QZT2" s="85"/>
      <c r="QZU2" s="85"/>
      <c r="QZV2" s="85"/>
      <c r="QZW2" s="85"/>
      <c r="QZX2" s="85"/>
      <c r="QZY2" s="85"/>
      <c r="QZZ2" s="85"/>
      <c r="RAA2" s="85"/>
      <c r="RAB2" s="85"/>
      <c r="RAC2" s="85"/>
      <c r="RAD2" s="85"/>
      <c r="RAE2" s="85"/>
      <c r="RAF2" s="85"/>
      <c r="RAG2" s="85"/>
      <c r="RAH2" s="85"/>
      <c r="RAI2" s="85"/>
      <c r="RAJ2" s="85"/>
      <c r="RAK2" s="85"/>
      <c r="RAL2" s="85"/>
      <c r="RAM2" s="85"/>
      <c r="RAN2" s="85"/>
      <c r="RAO2" s="85"/>
      <c r="RAP2" s="85"/>
      <c r="RAQ2" s="85"/>
      <c r="RAR2" s="85"/>
      <c r="RAS2" s="85"/>
      <c r="RAT2" s="85"/>
      <c r="RAU2" s="85"/>
      <c r="RAV2" s="85"/>
      <c r="RAW2" s="85"/>
      <c r="RAX2" s="85"/>
      <c r="RAY2" s="85"/>
      <c r="RAZ2" s="85"/>
      <c r="RBA2" s="85"/>
      <c r="RBB2" s="85"/>
      <c r="RBC2" s="85"/>
      <c r="RBD2" s="85"/>
      <c r="RBE2" s="85"/>
      <c r="RBF2" s="85"/>
      <c r="RBG2" s="85"/>
      <c r="RBH2" s="85"/>
      <c r="RBI2" s="85"/>
      <c r="RBJ2" s="85"/>
      <c r="RBK2" s="85"/>
      <c r="RBL2" s="85"/>
      <c r="RBM2" s="85"/>
      <c r="RBN2" s="85"/>
      <c r="RBO2" s="85"/>
      <c r="RBP2" s="85"/>
      <c r="RBQ2" s="85"/>
      <c r="RBR2" s="85"/>
      <c r="RBS2" s="85"/>
      <c r="RBT2" s="85"/>
      <c r="RBU2" s="85"/>
      <c r="RBV2" s="85"/>
      <c r="RBW2" s="85"/>
      <c r="RBX2" s="85"/>
      <c r="RBY2" s="85"/>
      <c r="RBZ2" s="85"/>
      <c r="RCA2" s="85"/>
      <c r="RCB2" s="85"/>
      <c r="RCC2" s="85"/>
      <c r="RCD2" s="85"/>
      <c r="RCE2" s="85"/>
      <c r="RCF2" s="85"/>
      <c r="RCG2" s="85"/>
      <c r="RCH2" s="85"/>
      <c r="RCI2" s="85"/>
      <c r="RCJ2" s="85"/>
      <c r="RCK2" s="85"/>
      <c r="RCL2" s="85"/>
      <c r="RCM2" s="85"/>
      <c r="RCN2" s="85"/>
      <c r="RCO2" s="85"/>
      <c r="RCP2" s="85"/>
      <c r="RCQ2" s="85"/>
      <c r="RCR2" s="85"/>
      <c r="RCS2" s="85"/>
      <c r="RCT2" s="85"/>
      <c r="RCU2" s="85"/>
      <c r="RCV2" s="85"/>
      <c r="RCW2" s="85"/>
      <c r="RCX2" s="85"/>
      <c r="RCY2" s="85"/>
      <c r="RCZ2" s="85"/>
      <c r="RDA2" s="85"/>
      <c r="RDB2" s="85"/>
      <c r="RDC2" s="85"/>
      <c r="RDD2" s="85"/>
      <c r="RDE2" s="85"/>
      <c r="RDF2" s="85"/>
      <c r="RDG2" s="85"/>
      <c r="RDH2" s="85"/>
      <c r="RDI2" s="85"/>
      <c r="RDJ2" s="85"/>
      <c r="RDK2" s="85"/>
      <c r="RDL2" s="85"/>
      <c r="RDM2" s="85"/>
      <c r="RDN2" s="85"/>
      <c r="RDO2" s="85"/>
      <c r="RDP2" s="85"/>
      <c r="RDQ2" s="85"/>
      <c r="RDR2" s="85"/>
      <c r="RDS2" s="85"/>
      <c r="RDT2" s="85"/>
      <c r="RDU2" s="85"/>
      <c r="RDV2" s="85"/>
      <c r="RDW2" s="85"/>
      <c r="RDX2" s="85"/>
      <c r="RDY2" s="85"/>
      <c r="RDZ2" s="85"/>
      <c r="REA2" s="85"/>
      <c r="REB2" s="85"/>
      <c r="REC2" s="85"/>
      <c r="RED2" s="85"/>
      <c r="REE2" s="85"/>
      <c r="REF2" s="85"/>
      <c r="REG2" s="85"/>
      <c r="REH2" s="85"/>
      <c r="REI2" s="85"/>
      <c r="REJ2" s="85"/>
      <c r="REK2" s="85"/>
      <c r="REL2" s="85"/>
      <c r="REM2" s="85"/>
      <c r="REN2" s="85"/>
      <c r="REO2" s="85"/>
      <c r="REP2" s="85"/>
      <c r="REQ2" s="85"/>
      <c r="RER2" s="85"/>
      <c r="RES2" s="85"/>
      <c r="RET2" s="85"/>
      <c r="REU2" s="85"/>
      <c r="REV2" s="85"/>
      <c r="REW2" s="85"/>
      <c r="REX2" s="85"/>
      <c r="REY2" s="85"/>
      <c r="REZ2" s="85"/>
      <c r="RFA2" s="85"/>
      <c r="RFB2" s="85"/>
      <c r="RFC2" s="85"/>
      <c r="RFD2" s="85"/>
      <c r="RFE2" s="85"/>
      <c r="RFF2" s="85"/>
      <c r="RFG2" s="85"/>
      <c r="RFH2" s="85"/>
      <c r="RFI2" s="85"/>
      <c r="RFJ2" s="85"/>
      <c r="RFK2" s="85"/>
      <c r="RFL2" s="85"/>
      <c r="RFM2" s="85"/>
      <c r="RFN2" s="85"/>
      <c r="RFO2" s="85"/>
      <c r="RFP2" s="85"/>
      <c r="RFQ2" s="85"/>
      <c r="RFR2" s="85"/>
      <c r="RFS2" s="85"/>
      <c r="RFT2" s="85"/>
      <c r="RFU2" s="85"/>
      <c r="RFV2" s="85"/>
      <c r="RFW2" s="85"/>
      <c r="RFX2" s="85"/>
      <c r="RFY2" s="85"/>
      <c r="RFZ2" s="85"/>
      <c r="RGA2" s="85"/>
      <c r="RGB2" s="85"/>
      <c r="RGC2" s="85"/>
      <c r="RGD2" s="85"/>
      <c r="RGE2" s="85"/>
      <c r="RGF2" s="85"/>
      <c r="RGG2" s="85"/>
      <c r="RGH2" s="85"/>
      <c r="RGI2" s="85"/>
      <c r="RGJ2" s="85"/>
      <c r="RGK2" s="85"/>
      <c r="RGL2" s="85"/>
      <c r="RGM2" s="85"/>
      <c r="RGN2" s="85"/>
      <c r="RGO2" s="85"/>
      <c r="RGP2" s="85"/>
      <c r="RGQ2" s="85"/>
      <c r="RGR2" s="85"/>
      <c r="RGS2" s="85"/>
      <c r="RGT2" s="85"/>
      <c r="RGU2" s="85"/>
      <c r="RGV2" s="85"/>
      <c r="RGW2" s="85"/>
      <c r="RGX2" s="85"/>
      <c r="RGY2" s="85"/>
      <c r="RGZ2" s="85"/>
      <c r="RHA2" s="85"/>
      <c r="RHB2" s="85"/>
      <c r="RHC2" s="85"/>
      <c r="RHD2" s="85"/>
      <c r="RHE2" s="85"/>
      <c r="RHF2" s="85"/>
      <c r="RHG2" s="85"/>
      <c r="RHH2" s="85"/>
      <c r="RHI2" s="85"/>
      <c r="RHJ2" s="85"/>
      <c r="RHK2" s="85"/>
      <c r="RHL2" s="85"/>
      <c r="RHM2" s="85"/>
      <c r="RHN2" s="85"/>
      <c r="RHO2" s="85"/>
      <c r="RHP2" s="85"/>
      <c r="RHQ2" s="85"/>
      <c r="RHR2" s="85"/>
      <c r="RHS2" s="85"/>
      <c r="RHT2" s="85"/>
      <c r="RHU2" s="85"/>
      <c r="RHV2" s="85"/>
      <c r="RHW2" s="85"/>
      <c r="RHX2" s="85"/>
      <c r="RHY2" s="85"/>
      <c r="RHZ2" s="85"/>
      <c r="RIA2" s="85"/>
      <c r="RIB2" s="85"/>
      <c r="RIC2" s="85"/>
      <c r="RID2" s="85"/>
      <c r="RIE2" s="85"/>
      <c r="RIF2" s="85"/>
      <c r="RIG2" s="85"/>
      <c r="RIH2" s="85"/>
      <c r="RII2" s="85"/>
      <c r="RIJ2" s="85"/>
      <c r="RIK2" s="85"/>
      <c r="RIL2" s="85"/>
      <c r="RIM2" s="85"/>
      <c r="RIN2" s="85"/>
      <c r="RIO2" s="85"/>
      <c r="RIP2" s="85"/>
      <c r="RIQ2" s="85"/>
      <c r="RIR2" s="85"/>
      <c r="RIS2" s="85"/>
      <c r="RIT2" s="85"/>
      <c r="RIU2" s="85"/>
      <c r="RIV2" s="85"/>
      <c r="RIW2" s="85"/>
      <c r="RIX2" s="85"/>
      <c r="RIY2" s="85"/>
      <c r="RIZ2" s="85"/>
      <c r="RJA2" s="85"/>
      <c r="RJB2" s="85"/>
      <c r="RJC2" s="85"/>
      <c r="RJD2" s="85"/>
      <c r="RJE2" s="85"/>
      <c r="RJF2" s="85"/>
      <c r="RJG2" s="85"/>
      <c r="RJH2" s="85"/>
      <c r="RJI2" s="85"/>
      <c r="RJJ2" s="85"/>
      <c r="RJK2" s="85"/>
      <c r="RJL2" s="85"/>
      <c r="RJM2" s="85"/>
      <c r="RJN2" s="85"/>
      <c r="RJO2" s="85"/>
      <c r="RJP2" s="85"/>
      <c r="RJQ2" s="85"/>
      <c r="RJR2" s="85"/>
      <c r="RJS2" s="85"/>
      <c r="RJT2" s="85"/>
      <c r="RJU2" s="85"/>
      <c r="RJV2" s="85"/>
      <c r="RJW2" s="85"/>
      <c r="RJX2" s="85"/>
      <c r="RJY2" s="85"/>
      <c r="RJZ2" s="85"/>
      <c r="RKA2" s="85"/>
      <c r="RKB2" s="85"/>
      <c r="RKC2" s="85"/>
      <c r="RKD2" s="85"/>
      <c r="RKE2" s="85"/>
      <c r="RKF2" s="85"/>
      <c r="RKG2" s="85"/>
      <c r="RKH2" s="85"/>
      <c r="RKI2" s="85"/>
      <c r="RKJ2" s="85"/>
      <c r="RKK2" s="85"/>
      <c r="RKL2" s="85"/>
      <c r="RKM2" s="85"/>
      <c r="RKN2" s="85"/>
      <c r="RKO2" s="85"/>
      <c r="RKP2" s="85"/>
      <c r="RKQ2" s="85"/>
      <c r="RKR2" s="85"/>
      <c r="RKS2" s="85"/>
      <c r="RKT2" s="85"/>
      <c r="RKU2" s="85"/>
      <c r="RKV2" s="85"/>
      <c r="RKW2" s="85"/>
      <c r="RKX2" s="85"/>
      <c r="RKY2" s="85"/>
      <c r="RKZ2" s="85"/>
      <c r="RLA2" s="85"/>
      <c r="RLB2" s="85"/>
      <c r="RLC2" s="85"/>
      <c r="RLD2" s="85"/>
      <c r="RLE2" s="85"/>
      <c r="RLF2" s="85"/>
      <c r="RLG2" s="85"/>
      <c r="RLH2" s="85"/>
      <c r="RLI2" s="85"/>
      <c r="RLJ2" s="85"/>
      <c r="RLK2" s="85"/>
      <c r="RLL2" s="85"/>
      <c r="RLM2" s="85"/>
      <c r="RLN2" s="85"/>
      <c r="RLO2" s="85"/>
      <c r="RLP2" s="85"/>
      <c r="RLQ2" s="85"/>
      <c r="RLR2" s="85"/>
      <c r="RLS2" s="85"/>
      <c r="RLT2" s="85"/>
      <c r="RLU2" s="85"/>
      <c r="RLV2" s="85"/>
      <c r="RLW2" s="85"/>
      <c r="RLX2" s="85"/>
      <c r="RLY2" s="85"/>
      <c r="RLZ2" s="85"/>
      <c r="RMA2" s="85"/>
      <c r="RMB2" s="85"/>
      <c r="RMC2" s="85"/>
      <c r="RMD2" s="85"/>
      <c r="RME2" s="85"/>
      <c r="RMF2" s="85"/>
      <c r="RMG2" s="85"/>
      <c r="RMH2" s="85"/>
      <c r="RMI2" s="85"/>
      <c r="RMJ2" s="85"/>
      <c r="RMK2" s="85"/>
      <c r="RML2" s="85"/>
      <c r="RMM2" s="85"/>
      <c r="RMN2" s="85"/>
      <c r="RMO2" s="85"/>
      <c r="RMP2" s="85"/>
      <c r="RMQ2" s="85"/>
      <c r="RMR2" s="85"/>
      <c r="RMS2" s="85"/>
      <c r="RMT2" s="85"/>
      <c r="RMU2" s="85"/>
      <c r="RMV2" s="85"/>
      <c r="RMW2" s="85"/>
      <c r="RMX2" s="85"/>
      <c r="RMY2" s="85"/>
      <c r="RMZ2" s="85"/>
      <c r="RNA2" s="85"/>
      <c r="RNB2" s="85"/>
      <c r="RNC2" s="85"/>
      <c r="RND2" s="85"/>
      <c r="RNE2" s="85"/>
      <c r="RNF2" s="85"/>
      <c r="RNG2" s="85"/>
      <c r="RNH2" s="85"/>
      <c r="RNI2" s="85"/>
      <c r="RNJ2" s="85"/>
      <c r="RNK2" s="85"/>
      <c r="RNL2" s="85"/>
      <c r="RNM2" s="85"/>
      <c r="RNN2" s="85"/>
      <c r="RNO2" s="85"/>
      <c r="RNP2" s="85"/>
      <c r="RNQ2" s="85"/>
      <c r="RNR2" s="85"/>
      <c r="RNS2" s="85"/>
      <c r="RNT2" s="85"/>
      <c r="RNU2" s="85"/>
      <c r="RNV2" s="85"/>
      <c r="RNW2" s="85"/>
      <c r="RNX2" s="85"/>
      <c r="RNY2" s="85"/>
      <c r="RNZ2" s="85"/>
      <c r="ROA2" s="85"/>
      <c r="ROB2" s="85"/>
      <c r="ROC2" s="85"/>
      <c r="ROD2" s="85"/>
      <c r="ROE2" s="85"/>
      <c r="ROF2" s="85"/>
      <c r="ROG2" s="85"/>
      <c r="ROH2" s="85"/>
      <c r="ROI2" s="85"/>
      <c r="ROJ2" s="85"/>
      <c r="ROK2" s="85"/>
      <c r="ROL2" s="85"/>
      <c r="ROM2" s="85"/>
      <c r="RON2" s="85"/>
      <c r="ROO2" s="85"/>
      <c r="ROP2" s="85"/>
      <c r="ROQ2" s="85"/>
      <c r="ROR2" s="85"/>
      <c r="ROS2" s="85"/>
      <c r="ROT2" s="85"/>
      <c r="ROU2" s="85"/>
      <c r="ROV2" s="85"/>
      <c r="ROW2" s="85"/>
      <c r="ROX2" s="85"/>
      <c r="ROY2" s="85"/>
      <c r="ROZ2" s="85"/>
      <c r="RPA2" s="85"/>
      <c r="RPB2" s="85"/>
      <c r="RPC2" s="85"/>
      <c r="RPD2" s="85"/>
      <c r="RPE2" s="85"/>
      <c r="RPF2" s="85"/>
      <c r="RPG2" s="85"/>
      <c r="RPH2" s="85"/>
      <c r="RPI2" s="85"/>
      <c r="RPJ2" s="85"/>
      <c r="RPK2" s="85"/>
      <c r="RPL2" s="85"/>
      <c r="RPM2" s="85"/>
      <c r="RPN2" s="85"/>
      <c r="RPO2" s="85"/>
      <c r="RPP2" s="85"/>
      <c r="RPQ2" s="85"/>
      <c r="RPR2" s="85"/>
      <c r="RPS2" s="85"/>
      <c r="RPT2" s="85"/>
      <c r="RPU2" s="85"/>
      <c r="RPV2" s="85"/>
      <c r="RPW2" s="85"/>
      <c r="RPX2" s="85"/>
      <c r="RPY2" s="85"/>
      <c r="RPZ2" s="85"/>
      <c r="RQA2" s="85"/>
      <c r="RQB2" s="85"/>
      <c r="RQC2" s="85"/>
      <c r="RQD2" s="85"/>
      <c r="RQE2" s="85"/>
      <c r="RQF2" s="85"/>
      <c r="RQG2" s="85"/>
      <c r="RQH2" s="85"/>
      <c r="RQI2" s="85"/>
      <c r="RQJ2" s="85"/>
      <c r="RQK2" s="85"/>
      <c r="RQL2" s="85"/>
      <c r="RQM2" s="85"/>
      <c r="RQN2" s="85"/>
      <c r="RQO2" s="85"/>
      <c r="RQP2" s="85"/>
      <c r="RQQ2" s="85"/>
      <c r="RQR2" s="85"/>
      <c r="RQS2" s="85"/>
      <c r="RQT2" s="85"/>
      <c r="RQU2" s="85"/>
      <c r="RQV2" s="85"/>
      <c r="RQW2" s="85"/>
      <c r="RQX2" s="85"/>
      <c r="RQY2" s="85"/>
      <c r="RQZ2" s="85"/>
      <c r="RRA2" s="85"/>
      <c r="RRB2" s="85"/>
      <c r="RRC2" s="85"/>
      <c r="RRD2" s="85"/>
      <c r="RRE2" s="85"/>
      <c r="RRF2" s="85"/>
      <c r="RRG2" s="85"/>
      <c r="RRH2" s="85"/>
      <c r="RRI2" s="85"/>
      <c r="RRJ2" s="85"/>
      <c r="RRK2" s="85"/>
      <c r="RRL2" s="85"/>
      <c r="RRM2" s="85"/>
      <c r="RRN2" s="85"/>
      <c r="RRO2" s="85"/>
      <c r="RRP2" s="85"/>
      <c r="RRQ2" s="85"/>
      <c r="RRR2" s="85"/>
      <c r="RRS2" s="85"/>
      <c r="RRT2" s="85"/>
      <c r="RRU2" s="85"/>
      <c r="RRV2" s="85"/>
      <c r="RRW2" s="85"/>
      <c r="RRX2" s="85"/>
      <c r="RRY2" s="85"/>
      <c r="RRZ2" s="85"/>
      <c r="RSA2" s="85"/>
      <c r="RSB2" s="85"/>
      <c r="RSC2" s="85"/>
      <c r="RSD2" s="85"/>
      <c r="RSE2" s="85"/>
      <c r="RSF2" s="85"/>
      <c r="RSG2" s="85"/>
      <c r="RSH2" s="85"/>
      <c r="RSI2" s="85"/>
      <c r="RSJ2" s="85"/>
      <c r="RSK2" s="85"/>
      <c r="RSL2" s="85"/>
      <c r="RSM2" s="85"/>
      <c r="RSN2" s="85"/>
      <c r="RSO2" s="85"/>
      <c r="RSP2" s="85"/>
      <c r="RSQ2" s="85"/>
      <c r="RSR2" s="85"/>
      <c r="RSS2" s="85"/>
      <c r="RST2" s="85"/>
      <c r="RSU2" s="85"/>
      <c r="RSV2" s="85"/>
      <c r="RSW2" s="85"/>
      <c r="RSX2" s="85"/>
      <c r="RSY2" s="85"/>
      <c r="RSZ2" s="85"/>
      <c r="RTA2" s="85"/>
      <c r="RTB2" s="85"/>
      <c r="RTC2" s="85"/>
      <c r="RTD2" s="85"/>
      <c r="RTE2" s="85"/>
      <c r="RTF2" s="85"/>
      <c r="RTG2" s="85"/>
      <c r="RTH2" s="85"/>
      <c r="RTI2" s="85"/>
      <c r="RTJ2" s="85"/>
      <c r="RTK2" s="85"/>
      <c r="RTL2" s="85"/>
      <c r="RTM2" s="85"/>
      <c r="RTN2" s="85"/>
      <c r="RTO2" s="85"/>
      <c r="RTP2" s="85"/>
      <c r="RTQ2" s="85"/>
      <c r="RTR2" s="85"/>
      <c r="RTS2" s="85"/>
      <c r="RTT2" s="85"/>
      <c r="RTU2" s="85"/>
      <c r="RTV2" s="85"/>
      <c r="RTW2" s="85"/>
      <c r="RTX2" s="85"/>
      <c r="RTY2" s="85"/>
      <c r="RTZ2" s="85"/>
      <c r="RUA2" s="85"/>
      <c r="RUB2" s="85"/>
      <c r="RUC2" s="85"/>
      <c r="RUD2" s="85"/>
      <c r="RUE2" s="85"/>
      <c r="RUF2" s="85"/>
      <c r="RUG2" s="85"/>
      <c r="RUH2" s="85"/>
      <c r="RUI2" s="85"/>
      <c r="RUJ2" s="85"/>
      <c r="RUK2" s="85"/>
      <c r="RUL2" s="85"/>
      <c r="RUM2" s="85"/>
      <c r="RUN2" s="85"/>
      <c r="RUO2" s="85"/>
      <c r="RUP2" s="85"/>
      <c r="RUQ2" s="85"/>
      <c r="RUR2" s="85"/>
      <c r="RUS2" s="85"/>
      <c r="RUT2" s="85"/>
      <c r="RUU2" s="85"/>
      <c r="RUV2" s="85"/>
      <c r="RUW2" s="85"/>
      <c r="RUX2" s="85"/>
      <c r="RUY2" s="85"/>
      <c r="RUZ2" s="85"/>
      <c r="RVA2" s="85"/>
      <c r="RVB2" s="85"/>
      <c r="RVC2" s="85"/>
      <c r="RVD2" s="85"/>
      <c r="RVE2" s="85"/>
      <c r="RVF2" s="85"/>
      <c r="RVG2" s="85"/>
      <c r="RVH2" s="85"/>
      <c r="RVI2" s="85"/>
      <c r="RVJ2" s="85"/>
      <c r="RVK2" s="85"/>
      <c r="RVL2" s="85"/>
      <c r="RVM2" s="85"/>
      <c r="RVN2" s="85"/>
      <c r="RVO2" s="85"/>
      <c r="RVP2" s="85"/>
      <c r="RVQ2" s="85"/>
      <c r="RVR2" s="85"/>
      <c r="RVS2" s="85"/>
      <c r="RVT2" s="85"/>
      <c r="RVU2" s="85"/>
      <c r="RVV2" s="85"/>
      <c r="RVW2" s="85"/>
      <c r="RVX2" s="85"/>
      <c r="RVY2" s="85"/>
      <c r="RVZ2" s="85"/>
      <c r="RWA2" s="85"/>
      <c r="RWB2" s="85"/>
      <c r="RWC2" s="85"/>
      <c r="RWD2" s="85"/>
      <c r="RWE2" s="85"/>
      <c r="RWF2" s="85"/>
      <c r="RWG2" s="85"/>
      <c r="RWH2" s="85"/>
      <c r="RWI2" s="85"/>
      <c r="RWJ2" s="85"/>
      <c r="RWK2" s="85"/>
      <c r="RWL2" s="85"/>
      <c r="RWM2" s="85"/>
      <c r="RWN2" s="85"/>
      <c r="RWO2" s="85"/>
      <c r="RWP2" s="85"/>
      <c r="RWQ2" s="85"/>
      <c r="RWR2" s="85"/>
      <c r="RWS2" s="85"/>
      <c r="RWT2" s="85"/>
      <c r="RWU2" s="85"/>
      <c r="RWV2" s="85"/>
      <c r="RWW2" s="85"/>
      <c r="RWX2" s="85"/>
      <c r="RWY2" s="85"/>
      <c r="RWZ2" s="85"/>
      <c r="RXA2" s="85"/>
      <c r="RXB2" s="85"/>
      <c r="RXC2" s="85"/>
      <c r="RXD2" s="85"/>
      <c r="RXE2" s="85"/>
      <c r="RXF2" s="85"/>
      <c r="RXG2" s="85"/>
      <c r="RXH2" s="85"/>
      <c r="RXI2" s="85"/>
      <c r="RXJ2" s="85"/>
      <c r="RXK2" s="85"/>
      <c r="RXL2" s="85"/>
      <c r="RXM2" s="85"/>
      <c r="RXN2" s="85"/>
      <c r="RXO2" s="85"/>
      <c r="RXP2" s="85"/>
      <c r="RXQ2" s="85"/>
      <c r="RXR2" s="85"/>
      <c r="RXS2" s="85"/>
      <c r="RXT2" s="85"/>
      <c r="RXU2" s="85"/>
      <c r="RXV2" s="85"/>
      <c r="RXW2" s="85"/>
      <c r="RXX2" s="85"/>
      <c r="RXY2" s="85"/>
      <c r="RXZ2" s="85"/>
      <c r="RYA2" s="85"/>
      <c r="RYB2" s="85"/>
      <c r="RYC2" s="85"/>
      <c r="RYD2" s="85"/>
      <c r="RYE2" s="85"/>
      <c r="RYF2" s="85"/>
      <c r="RYG2" s="85"/>
      <c r="RYH2" s="85"/>
      <c r="RYI2" s="85"/>
      <c r="RYJ2" s="85"/>
      <c r="RYK2" s="85"/>
      <c r="RYL2" s="85"/>
      <c r="RYM2" s="85"/>
      <c r="RYN2" s="85"/>
      <c r="RYO2" s="85"/>
      <c r="RYP2" s="85"/>
      <c r="RYQ2" s="85"/>
      <c r="RYR2" s="85"/>
      <c r="RYS2" s="85"/>
      <c r="RYT2" s="85"/>
      <c r="RYU2" s="85"/>
      <c r="RYV2" s="85"/>
      <c r="RYW2" s="85"/>
      <c r="RYX2" s="85"/>
      <c r="RYY2" s="85"/>
      <c r="RYZ2" s="85"/>
      <c r="RZA2" s="85"/>
      <c r="RZB2" s="85"/>
      <c r="RZC2" s="85"/>
      <c r="RZD2" s="85"/>
      <c r="RZE2" s="85"/>
      <c r="RZF2" s="85"/>
      <c r="RZG2" s="85"/>
      <c r="RZH2" s="85"/>
      <c r="RZI2" s="85"/>
      <c r="RZJ2" s="85"/>
      <c r="RZK2" s="85"/>
      <c r="RZL2" s="85"/>
      <c r="RZM2" s="85"/>
      <c r="RZN2" s="85"/>
      <c r="RZO2" s="85"/>
      <c r="RZP2" s="85"/>
      <c r="RZQ2" s="85"/>
      <c r="RZR2" s="85"/>
      <c r="RZS2" s="85"/>
      <c r="RZT2" s="85"/>
      <c r="RZU2" s="85"/>
      <c r="RZV2" s="85"/>
      <c r="RZW2" s="85"/>
      <c r="RZX2" s="85"/>
      <c r="RZY2" s="85"/>
      <c r="RZZ2" s="85"/>
      <c r="SAA2" s="85"/>
      <c r="SAB2" s="85"/>
      <c r="SAC2" s="85"/>
      <c r="SAD2" s="85"/>
      <c r="SAE2" s="85"/>
      <c r="SAF2" s="85"/>
      <c r="SAG2" s="85"/>
      <c r="SAH2" s="85"/>
      <c r="SAI2" s="85"/>
      <c r="SAJ2" s="85"/>
      <c r="SAK2" s="85"/>
      <c r="SAL2" s="85"/>
      <c r="SAM2" s="85"/>
      <c r="SAN2" s="85"/>
      <c r="SAO2" s="85"/>
      <c r="SAP2" s="85"/>
      <c r="SAQ2" s="85"/>
      <c r="SAR2" s="85"/>
      <c r="SAS2" s="85"/>
      <c r="SAT2" s="85"/>
      <c r="SAU2" s="85"/>
      <c r="SAV2" s="85"/>
      <c r="SAW2" s="85"/>
      <c r="SAX2" s="85"/>
      <c r="SAY2" s="85"/>
      <c r="SAZ2" s="85"/>
      <c r="SBA2" s="85"/>
      <c r="SBB2" s="85"/>
      <c r="SBC2" s="85"/>
      <c r="SBD2" s="85"/>
      <c r="SBE2" s="85"/>
      <c r="SBF2" s="85"/>
      <c r="SBG2" s="85"/>
      <c r="SBH2" s="85"/>
      <c r="SBI2" s="85"/>
      <c r="SBJ2" s="85"/>
      <c r="SBK2" s="85"/>
      <c r="SBL2" s="85"/>
      <c r="SBM2" s="85"/>
      <c r="SBN2" s="85"/>
      <c r="SBO2" s="85"/>
      <c r="SBP2" s="85"/>
      <c r="SBQ2" s="85"/>
      <c r="SBR2" s="85"/>
      <c r="SBS2" s="85"/>
      <c r="SBT2" s="85"/>
      <c r="SBU2" s="85"/>
      <c r="SBV2" s="85"/>
      <c r="SBW2" s="85"/>
      <c r="SBX2" s="85"/>
      <c r="SBY2" s="85"/>
      <c r="SBZ2" s="85"/>
      <c r="SCA2" s="85"/>
      <c r="SCB2" s="85"/>
      <c r="SCC2" s="85"/>
      <c r="SCD2" s="85"/>
      <c r="SCE2" s="85"/>
      <c r="SCF2" s="85"/>
      <c r="SCG2" s="85"/>
      <c r="SCH2" s="85"/>
      <c r="SCI2" s="85"/>
      <c r="SCJ2" s="85"/>
      <c r="SCK2" s="85"/>
      <c r="SCL2" s="85"/>
      <c r="SCM2" s="85"/>
      <c r="SCN2" s="85"/>
      <c r="SCO2" s="85"/>
      <c r="SCP2" s="85"/>
      <c r="SCQ2" s="85"/>
      <c r="SCR2" s="85"/>
      <c r="SCS2" s="85"/>
      <c r="SCT2" s="85"/>
      <c r="SCU2" s="85"/>
      <c r="SCV2" s="85"/>
      <c r="SCW2" s="85"/>
      <c r="SCX2" s="85"/>
      <c r="SCY2" s="85"/>
      <c r="SCZ2" s="85"/>
      <c r="SDA2" s="85"/>
      <c r="SDB2" s="85"/>
      <c r="SDC2" s="85"/>
      <c r="SDD2" s="85"/>
      <c r="SDE2" s="85"/>
      <c r="SDF2" s="85"/>
      <c r="SDG2" s="85"/>
      <c r="SDH2" s="85"/>
      <c r="SDI2" s="85"/>
      <c r="SDJ2" s="85"/>
      <c r="SDK2" s="85"/>
      <c r="SDL2" s="85"/>
      <c r="SDM2" s="85"/>
      <c r="SDN2" s="85"/>
      <c r="SDO2" s="85"/>
      <c r="SDP2" s="85"/>
      <c r="SDQ2" s="85"/>
      <c r="SDR2" s="85"/>
      <c r="SDS2" s="85"/>
      <c r="SDT2" s="85"/>
      <c r="SDU2" s="85"/>
      <c r="SDV2" s="85"/>
      <c r="SDW2" s="85"/>
      <c r="SDX2" s="85"/>
      <c r="SDY2" s="85"/>
      <c r="SDZ2" s="85"/>
      <c r="SEA2" s="85"/>
      <c r="SEB2" s="85"/>
      <c r="SEC2" s="85"/>
      <c r="SED2" s="85"/>
      <c r="SEE2" s="85"/>
      <c r="SEF2" s="85"/>
      <c r="SEG2" s="85"/>
      <c r="SEH2" s="85"/>
      <c r="SEI2" s="85"/>
      <c r="SEJ2" s="85"/>
      <c r="SEK2" s="85"/>
      <c r="SEL2" s="85"/>
      <c r="SEM2" s="85"/>
      <c r="SEN2" s="85"/>
      <c r="SEO2" s="85"/>
      <c r="SEP2" s="85"/>
      <c r="SEQ2" s="85"/>
      <c r="SER2" s="85"/>
      <c r="SES2" s="85"/>
      <c r="SET2" s="85"/>
      <c r="SEU2" s="85"/>
      <c r="SEV2" s="85"/>
      <c r="SEW2" s="85"/>
      <c r="SEX2" s="85"/>
      <c r="SEY2" s="85"/>
      <c r="SEZ2" s="85"/>
      <c r="SFA2" s="85"/>
      <c r="SFB2" s="85"/>
      <c r="SFC2" s="85"/>
      <c r="SFD2" s="85"/>
      <c r="SFE2" s="85"/>
      <c r="SFF2" s="85"/>
      <c r="SFG2" s="85"/>
      <c r="SFH2" s="85"/>
      <c r="SFI2" s="85"/>
      <c r="SFJ2" s="85"/>
      <c r="SFK2" s="85"/>
      <c r="SFL2" s="85"/>
      <c r="SFM2" s="85"/>
      <c r="SFN2" s="85"/>
      <c r="SFO2" s="85"/>
      <c r="SFP2" s="85"/>
      <c r="SFQ2" s="85"/>
      <c r="SFR2" s="85"/>
      <c r="SFS2" s="85"/>
      <c r="SFT2" s="85"/>
      <c r="SFU2" s="85"/>
      <c r="SFV2" s="85"/>
      <c r="SFW2" s="85"/>
      <c r="SFX2" s="85"/>
      <c r="SFY2" s="85"/>
      <c r="SFZ2" s="85"/>
      <c r="SGA2" s="85"/>
      <c r="SGB2" s="85"/>
      <c r="SGC2" s="85"/>
      <c r="SGD2" s="85"/>
      <c r="SGE2" s="85"/>
      <c r="SGF2" s="85"/>
      <c r="SGG2" s="85"/>
      <c r="SGH2" s="85"/>
      <c r="SGI2" s="85"/>
      <c r="SGJ2" s="85"/>
      <c r="SGK2" s="85"/>
      <c r="SGL2" s="85"/>
      <c r="SGM2" s="85"/>
      <c r="SGN2" s="85"/>
      <c r="SGO2" s="85"/>
      <c r="SGP2" s="85"/>
      <c r="SGQ2" s="85"/>
      <c r="SGR2" s="85"/>
      <c r="SGS2" s="85"/>
      <c r="SGT2" s="85"/>
      <c r="SGU2" s="85"/>
      <c r="SGV2" s="85"/>
      <c r="SGW2" s="85"/>
      <c r="SGX2" s="85"/>
      <c r="SGY2" s="85"/>
      <c r="SGZ2" s="85"/>
      <c r="SHA2" s="85"/>
      <c r="SHB2" s="85"/>
      <c r="SHC2" s="85"/>
      <c r="SHD2" s="85"/>
      <c r="SHE2" s="85"/>
      <c r="SHF2" s="85"/>
      <c r="SHG2" s="85"/>
      <c r="SHH2" s="85"/>
      <c r="SHI2" s="85"/>
      <c r="SHJ2" s="85"/>
      <c r="SHK2" s="85"/>
      <c r="SHL2" s="85"/>
      <c r="SHM2" s="85"/>
      <c r="SHN2" s="85"/>
      <c r="SHO2" s="85"/>
      <c r="SHP2" s="85"/>
      <c r="SHQ2" s="85"/>
      <c r="SHR2" s="85"/>
      <c r="SHS2" s="85"/>
      <c r="SHT2" s="85"/>
      <c r="SHU2" s="85"/>
      <c r="SHV2" s="85"/>
      <c r="SHW2" s="85"/>
      <c r="SHX2" s="85"/>
      <c r="SHY2" s="85"/>
      <c r="SHZ2" s="85"/>
      <c r="SIA2" s="85"/>
      <c r="SIB2" s="85"/>
      <c r="SIC2" s="85"/>
      <c r="SID2" s="85"/>
      <c r="SIE2" s="85"/>
      <c r="SIF2" s="85"/>
      <c r="SIG2" s="85"/>
      <c r="SIH2" s="85"/>
      <c r="SII2" s="85"/>
      <c r="SIJ2" s="85"/>
      <c r="SIK2" s="85"/>
      <c r="SIL2" s="85"/>
      <c r="SIM2" s="85"/>
      <c r="SIN2" s="85"/>
      <c r="SIO2" s="85"/>
      <c r="SIP2" s="85"/>
      <c r="SIQ2" s="85"/>
      <c r="SIR2" s="85"/>
      <c r="SIS2" s="85"/>
      <c r="SIT2" s="85"/>
      <c r="SIU2" s="85"/>
      <c r="SIV2" s="85"/>
      <c r="SIW2" s="85"/>
      <c r="SIX2" s="85"/>
      <c r="SIY2" s="85"/>
      <c r="SIZ2" s="85"/>
      <c r="SJA2" s="85"/>
      <c r="SJB2" s="85"/>
      <c r="SJC2" s="85"/>
      <c r="SJD2" s="85"/>
      <c r="SJE2" s="85"/>
      <c r="SJF2" s="85"/>
      <c r="SJG2" s="85"/>
      <c r="SJH2" s="85"/>
      <c r="SJI2" s="85"/>
      <c r="SJJ2" s="85"/>
      <c r="SJK2" s="85"/>
      <c r="SJL2" s="85"/>
      <c r="SJM2" s="85"/>
      <c r="SJN2" s="85"/>
      <c r="SJO2" s="85"/>
      <c r="SJP2" s="85"/>
      <c r="SJQ2" s="85"/>
      <c r="SJR2" s="85"/>
      <c r="SJS2" s="85"/>
      <c r="SJT2" s="85"/>
      <c r="SJU2" s="85"/>
      <c r="SJV2" s="85"/>
      <c r="SJW2" s="85"/>
      <c r="SJX2" s="85"/>
      <c r="SJY2" s="85"/>
      <c r="SJZ2" s="85"/>
      <c r="SKA2" s="85"/>
      <c r="SKB2" s="85"/>
      <c r="SKC2" s="85"/>
      <c r="SKD2" s="85"/>
      <c r="SKE2" s="85"/>
      <c r="SKF2" s="85"/>
      <c r="SKG2" s="85"/>
      <c r="SKH2" s="85"/>
      <c r="SKI2" s="85"/>
      <c r="SKJ2" s="85"/>
      <c r="SKK2" s="85"/>
      <c r="SKL2" s="85"/>
      <c r="SKM2" s="85"/>
      <c r="SKN2" s="85"/>
      <c r="SKO2" s="85"/>
      <c r="SKP2" s="85"/>
      <c r="SKQ2" s="85"/>
      <c r="SKR2" s="85"/>
      <c r="SKS2" s="85"/>
      <c r="SKT2" s="85"/>
      <c r="SKU2" s="85"/>
      <c r="SKV2" s="85"/>
      <c r="SKW2" s="85"/>
      <c r="SKX2" s="85"/>
      <c r="SKY2" s="85"/>
      <c r="SKZ2" s="85"/>
      <c r="SLA2" s="85"/>
      <c r="SLB2" s="85"/>
      <c r="SLC2" s="85"/>
      <c r="SLD2" s="85"/>
      <c r="SLE2" s="85"/>
      <c r="SLF2" s="85"/>
      <c r="SLG2" s="85"/>
      <c r="SLH2" s="85"/>
      <c r="SLI2" s="85"/>
      <c r="SLJ2" s="85"/>
      <c r="SLK2" s="85"/>
      <c r="SLL2" s="85"/>
      <c r="SLM2" s="85"/>
      <c r="SLN2" s="85"/>
      <c r="SLO2" s="85"/>
      <c r="SLP2" s="85"/>
      <c r="SLQ2" s="85"/>
      <c r="SLR2" s="85"/>
      <c r="SLS2" s="85"/>
      <c r="SLT2" s="85"/>
      <c r="SLU2" s="85"/>
      <c r="SLV2" s="85"/>
      <c r="SLW2" s="85"/>
      <c r="SLX2" s="85"/>
      <c r="SLY2" s="85"/>
      <c r="SLZ2" s="85"/>
      <c r="SMA2" s="85"/>
      <c r="SMB2" s="85"/>
      <c r="SMC2" s="85"/>
      <c r="SMD2" s="85"/>
      <c r="SME2" s="85"/>
      <c r="SMF2" s="85"/>
      <c r="SMG2" s="85"/>
      <c r="SMH2" s="85"/>
      <c r="SMI2" s="85"/>
      <c r="SMJ2" s="85"/>
      <c r="SMK2" s="85"/>
      <c r="SML2" s="85"/>
      <c r="SMM2" s="85"/>
      <c r="SMN2" s="85"/>
      <c r="SMO2" s="85"/>
      <c r="SMP2" s="85"/>
      <c r="SMQ2" s="85"/>
      <c r="SMR2" s="85"/>
      <c r="SMS2" s="85"/>
      <c r="SMT2" s="85"/>
      <c r="SMU2" s="85"/>
      <c r="SMV2" s="85"/>
      <c r="SMW2" s="85"/>
      <c r="SMX2" s="85"/>
      <c r="SMY2" s="85"/>
      <c r="SMZ2" s="85"/>
      <c r="SNA2" s="85"/>
      <c r="SNB2" s="85"/>
      <c r="SNC2" s="85"/>
      <c r="SND2" s="85"/>
      <c r="SNE2" s="85"/>
      <c r="SNF2" s="85"/>
      <c r="SNG2" s="85"/>
      <c r="SNH2" s="85"/>
      <c r="SNI2" s="85"/>
      <c r="SNJ2" s="85"/>
      <c r="SNK2" s="85"/>
      <c r="SNL2" s="85"/>
      <c r="SNM2" s="85"/>
      <c r="SNN2" s="85"/>
      <c r="SNO2" s="85"/>
      <c r="SNP2" s="85"/>
      <c r="SNQ2" s="85"/>
      <c r="SNR2" s="85"/>
      <c r="SNS2" s="85"/>
      <c r="SNT2" s="85"/>
      <c r="SNU2" s="85"/>
      <c r="SNV2" s="85"/>
      <c r="SNW2" s="85"/>
      <c r="SNX2" s="85"/>
      <c r="SNY2" s="85"/>
      <c r="SNZ2" s="85"/>
      <c r="SOA2" s="85"/>
      <c r="SOB2" s="85"/>
      <c r="SOC2" s="85"/>
      <c r="SOD2" s="85"/>
      <c r="SOE2" s="85"/>
      <c r="SOF2" s="85"/>
      <c r="SOG2" s="85"/>
      <c r="SOH2" s="85"/>
      <c r="SOI2" s="85"/>
      <c r="SOJ2" s="85"/>
      <c r="SOK2" s="85"/>
      <c r="SOL2" s="85"/>
      <c r="SOM2" s="85"/>
      <c r="SON2" s="85"/>
      <c r="SOO2" s="85"/>
      <c r="SOP2" s="85"/>
      <c r="SOQ2" s="85"/>
      <c r="SOR2" s="85"/>
      <c r="SOS2" s="85"/>
      <c r="SOT2" s="85"/>
      <c r="SOU2" s="85"/>
      <c r="SOV2" s="85"/>
      <c r="SOW2" s="85"/>
      <c r="SOX2" s="85"/>
      <c r="SOY2" s="85"/>
      <c r="SOZ2" s="85"/>
      <c r="SPA2" s="85"/>
      <c r="SPB2" s="85"/>
      <c r="SPC2" s="85"/>
      <c r="SPD2" s="85"/>
      <c r="SPE2" s="85"/>
      <c r="SPF2" s="85"/>
      <c r="SPG2" s="85"/>
      <c r="SPH2" s="85"/>
      <c r="SPI2" s="85"/>
      <c r="SPJ2" s="85"/>
      <c r="SPK2" s="85"/>
      <c r="SPL2" s="85"/>
      <c r="SPM2" s="85"/>
      <c r="SPN2" s="85"/>
      <c r="SPO2" s="85"/>
      <c r="SPP2" s="85"/>
      <c r="SPQ2" s="85"/>
      <c r="SPR2" s="85"/>
      <c r="SPS2" s="85"/>
      <c r="SPT2" s="85"/>
      <c r="SPU2" s="85"/>
      <c r="SPV2" s="85"/>
      <c r="SPW2" s="85"/>
      <c r="SPX2" s="85"/>
      <c r="SPY2" s="85"/>
      <c r="SPZ2" s="85"/>
      <c r="SQA2" s="85"/>
      <c r="SQB2" s="85"/>
      <c r="SQC2" s="85"/>
      <c r="SQD2" s="85"/>
      <c r="SQE2" s="85"/>
      <c r="SQF2" s="85"/>
      <c r="SQG2" s="85"/>
      <c r="SQH2" s="85"/>
      <c r="SQI2" s="85"/>
      <c r="SQJ2" s="85"/>
      <c r="SQK2" s="85"/>
      <c r="SQL2" s="85"/>
      <c r="SQM2" s="85"/>
      <c r="SQN2" s="85"/>
      <c r="SQO2" s="85"/>
      <c r="SQP2" s="85"/>
      <c r="SQQ2" s="85"/>
      <c r="SQR2" s="85"/>
      <c r="SQS2" s="85"/>
      <c r="SQT2" s="85"/>
      <c r="SQU2" s="85"/>
      <c r="SQV2" s="85"/>
      <c r="SQW2" s="85"/>
      <c r="SQX2" s="85"/>
      <c r="SQY2" s="85"/>
      <c r="SQZ2" s="85"/>
      <c r="SRA2" s="85"/>
      <c r="SRB2" s="85"/>
      <c r="SRC2" s="85"/>
      <c r="SRD2" s="85"/>
      <c r="SRE2" s="85"/>
      <c r="SRF2" s="85"/>
      <c r="SRG2" s="85"/>
      <c r="SRH2" s="85"/>
      <c r="SRI2" s="85"/>
      <c r="SRJ2" s="85"/>
      <c r="SRK2" s="85"/>
      <c r="SRL2" s="85"/>
      <c r="SRM2" s="85"/>
      <c r="SRN2" s="85"/>
      <c r="SRO2" s="85"/>
      <c r="SRP2" s="85"/>
      <c r="SRQ2" s="85"/>
      <c r="SRR2" s="85"/>
      <c r="SRS2" s="85"/>
      <c r="SRT2" s="85"/>
      <c r="SRU2" s="85"/>
      <c r="SRV2" s="85"/>
      <c r="SRW2" s="85"/>
      <c r="SRX2" s="85"/>
      <c r="SRY2" s="85"/>
      <c r="SRZ2" s="85"/>
      <c r="SSA2" s="85"/>
      <c r="SSB2" s="85"/>
      <c r="SSC2" s="85"/>
      <c r="SSD2" s="85"/>
      <c r="SSE2" s="85"/>
      <c r="SSF2" s="85"/>
      <c r="SSG2" s="85"/>
      <c r="SSH2" s="85"/>
      <c r="SSI2" s="85"/>
      <c r="SSJ2" s="85"/>
      <c r="SSK2" s="85"/>
      <c r="SSL2" s="85"/>
      <c r="SSM2" s="85"/>
      <c r="SSN2" s="85"/>
      <c r="SSO2" s="85"/>
      <c r="SSP2" s="85"/>
      <c r="SSQ2" s="85"/>
      <c r="SSR2" s="85"/>
      <c r="SSS2" s="85"/>
      <c r="SST2" s="85"/>
      <c r="SSU2" s="85"/>
      <c r="SSV2" s="85"/>
      <c r="SSW2" s="85"/>
      <c r="SSX2" s="85"/>
      <c r="SSY2" s="85"/>
      <c r="SSZ2" s="85"/>
      <c r="STA2" s="85"/>
      <c r="STB2" s="85"/>
      <c r="STC2" s="85"/>
      <c r="STD2" s="85"/>
      <c r="STE2" s="85"/>
      <c r="STF2" s="85"/>
      <c r="STG2" s="85"/>
      <c r="STH2" s="85"/>
      <c r="STI2" s="85"/>
      <c r="STJ2" s="85"/>
      <c r="STK2" s="85"/>
      <c r="STL2" s="85"/>
      <c r="STM2" s="85"/>
      <c r="STN2" s="85"/>
      <c r="STO2" s="85"/>
      <c r="STP2" s="85"/>
      <c r="STQ2" s="85"/>
      <c r="STR2" s="85"/>
      <c r="STS2" s="85"/>
      <c r="STT2" s="85"/>
      <c r="STU2" s="85"/>
      <c r="STV2" s="85"/>
      <c r="STW2" s="85"/>
      <c r="STX2" s="85"/>
      <c r="STY2" s="85"/>
      <c r="STZ2" s="85"/>
      <c r="SUA2" s="85"/>
      <c r="SUB2" s="85"/>
      <c r="SUC2" s="85"/>
      <c r="SUD2" s="85"/>
      <c r="SUE2" s="85"/>
      <c r="SUF2" s="85"/>
      <c r="SUG2" s="85"/>
      <c r="SUH2" s="85"/>
      <c r="SUI2" s="85"/>
      <c r="SUJ2" s="85"/>
      <c r="SUK2" s="85"/>
      <c r="SUL2" s="85"/>
      <c r="SUM2" s="85"/>
      <c r="SUN2" s="85"/>
      <c r="SUO2" s="85"/>
      <c r="SUP2" s="85"/>
      <c r="SUQ2" s="85"/>
      <c r="SUR2" s="85"/>
      <c r="SUS2" s="85"/>
      <c r="SUT2" s="85"/>
      <c r="SUU2" s="85"/>
      <c r="SUV2" s="85"/>
      <c r="SUW2" s="85"/>
      <c r="SUX2" s="85"/>
      <c r="SUY2" s="85"/>
      <c r="SUZ2" s="85"/>
      <c r="SVA2" s="85"/>
      <c r="SVB2" s="85"/>
      <c r="SVC2" s="85"/>
      <c r="SVD2" s="85"/>
      <c r="SVE2" s="85"/>
      <c r="SVF2" s="85"/>
      <c r="SVG2" s="85"/>
      <c r="SVH2" s="85"/>
      <c r="SVI2" s="85"/>
      <c r="SVJ2" s="85"/>
      <c r="SVK2" s="85"/>
      <c r="SVL2" s="85"/>
      <c r="SVM2" s="85"/>
      <c r="SVN2" s="85"/>
      <c r="SVO2" s="85"/>
      <c r="SVP2" s="85"/>
      <c r="SVQ2" s="85"/>
      <c r="SVR2" s="85"/>
      <c r="SVS2" s="85"/>
      <c r="SVT2" s="85"/>
      <c r="SVU2" s="85"/>
      <c r="SVV2" s="85"/>
      <c r="SVW2" s="85"/>
      <c r="SVX2" s="85"/>
      <c r="SVY2" s="85"/>
      <c r="SVZ2" s="85"/>
      <c r="SWA2" s="85"/>
      <c r="SWB2" s="85"/>
      <c r="SWC2" s="85"/>
      <c r="SWD2" s="85"/>
      <c r="SWE2" s="85"/>
      <c r="SWF2" s="85"/>
      <c r="SWG2" s="85"/>
      <c r="SWH2" s="85"/>
      <c r="SWI2" s="85"/>
      <c r="SWJ2" s="85"/>
      <c r="SWK2" s="85"/>
      <c r="SWL2" s="85"/>
      <c r="SWM2" s="85"/>
      <c r="SWN2" s="85"/>
      <c r="SWO2" s="85"/>
      <c r="SWP2" s="85"/>
      <c r="SWQ2" s="85"/>
      <c r="SWR2" s="85"/>
      <c r="SWS2" s="85"/>
      <c r="SWT2" s="85"/>
      <c r="SWU2" s="85"/>
      <c r="SWV2" s="85"/>
      <c r="SWW2" s="85"/>
      <c r="SWX2" s="85"/>
      <c r="SWY2" s="85"/>
      <c r="SWZ2" s="85"/>
      <c r="SXA2" s="85"/>
      <c r="SXB2" s="85"/>
      <c r="SXC2" s="85"/>
      <c r="SXD2" s="85"/>
      <c r="SXE2" s="85"/>
      <c r="SXF2" s="85"/>
      <c r="SXG2" s="85"/>
      <c r="SXH2" s="85"/>
      <c r="SXI2" s="85"/>
      <c r="SXJ2" s="85"/>
      <c r="SXK2" s="85"/>
      <c r="SXL2" s="85"/>
      <c r="SXM2" s="85"/>
      <c r="SXN2" s="85"/>
      <c r="SXO2" s="85"/>
      <c r="SXP2" s="85"/>
      <c r="SXQ2" s="85"/>
      <c r="SXR2" s="85"/>
      <c r="SXS2" s="85"/>
      <c r="SXT2" s="85"/>
      <c r="SXU2" s="85"/>
      <c r="SXV2" s="85"/>
      <c r="SXW2" s="85"/>
      <c r="SXX2" s="85"/>
      <c r="SXY2" s="85"/>
      <c r="SXZ2" s="85"/>
      <c r="SYA2" s="85"/>
      <c r="SYB2" s="85"/>
      <c r="SYC2" s="85"/>
      <c r="SYD2" s="85"/>
      <c r="SYE2" s="85"/>
      <c r="SYF2" s="85"/>
      <c r="SYG2" s="85"/>
      <c r="SYH2" s="85"/>
      <c r="SYI2" s="85"/>
      <c r="SYJ2" s="85"/>
      <c r="SYK2" s="85"/>
      <c r="SYL2" s="85"/>
      <c r="SYM2" s="85"/>
      <c r="SYN2" s="85"/>
      <c r="SYO2" s="85"/>
      <c r="SYP2" s="85"/>
      <c r="SYQ2" s="85"/>
      <c r="SYR2" s="85"/>
      <c r="SYS2" s="85"/>
      <c r="SYT2" s="85"/>
      <c r="SYU2" s="85"/>
      <c r="SYV2" s="85"/>
      <c r="SYW2" s="85"/>
      <c r="SYX2" s="85"/>
      <c r="SYY2" s="85"/>
      <c r="SYZ2" s="85"/>
      <c r="SZA2" s="85"/>
      <c r="SZB2" s="85"/>
      <c r="SZC2" s="85"/>
      <c r="SZD2" s="85"/>
      <c r="SZE2" s="85"/>
      <c r="SZF2" s="85"/>
      <c r="SZG2" s="85"/>
      <c r="SZH2" s="85"/>
      <c r="SZI2" s="85"/>
      <c r="SZJ2" s="85"/>
      <c r="SZK2" s="85"/>
      <c r="SZL2" s="85"/>
      <c r="SZM2" s="85"/>
      <c r="SZN2" s="85"/>
      <c r="SZO2" s="85"/>
      <c r="SZP2" s="85"/>
      <c r="SZQ2" s="85"/>
      <c r="SZR2" s="85"/>
      <c r="SZS2" s="85"/>
      <c r="SZT2" s="85"/>
      <c r="SZU2" s="85"/>
      <c r="SZV2" s="85"/>
      <c r="SZW2" s="85"/>
      <c r="SZX2" s="85"/>
      <c r="SZY2" s="85"/>
      <c r="SZZ2" s="85"/>
      <c r="TAA2" s="85"/>
      <c r="TAB2" s="85"/>
      <c r="TAC2" s="85"/>
      <c r="TAD2" s="85"/>
      <c r="TAE2" s="85"/>
      <c r="TAF2" s="85"/>
      <c r="TAG2" s="85"/>
      <c r="TAH2" s="85"/>
      <c r="TAI2" s="85"/>
      <c r="TAJ2" s="85"/>
      <c r="TAK2" s="85"/>
      <c r="TAL2" s="85"/>
      <c r="TAM2" s="85"/>
      <c r="TAN2" s="85"/>
      <c r="TAO2" s="85"/>
      <c r="TAP2" s="85"/>
      <c r="TAQ2" s="85"/>
      <c r="TAR2" s="85"/>
      <c r="TAS2" s="85"/>
      <c r="TAT2" s="85"/>
      <c r="TAU2" s="85"/>
      <c r="TAV2" s="85"/>
      <c r="TAW2" s="85"/>
      <c r="TAX2" s="85"/>
      <c r="TAY2" s="85"/>
      <c r="TAZ2" s="85"/>
      <c r="TBA2" s="85"/>
      <c r="TBB2" s="85"/>
      <c r="TBC2" s="85"/>
      <c r="TBD2" s="85"/>
      <c r="TBE2" s="85"/>
      <c r="TBF2" s="85"/>
      <c r="TBG2" s="85"/>
      <c r="TBH2" s="85"/>
      <c r="TBI2" s="85"/>
      <c r="TBJ2" s="85"/>
      <c r="TBK2" s="85"/>
      <c r="TBL2" s="85"/>
      <c r="TBM2" s="85"/>
      <c r="TBN2" s="85"/>
      <c r="TBO2" s="85"/>
      <c r="TBP2" s="85"/>
      <c r="TBQ2" s="85"/>
      <c r="TBR2" s="85"/>
      <c r="TBS2" s="85"/>
      <c r="TBT2" s="85"/>
      <c r="TBU2" s="85"/>
      <c r="TBV2" s="85"/>
      <c r="TBW2" s="85"/>
      <c r="TBX2" s="85"/>
      <c r="TBY2" s="85"/>
      <c r="TBZ2" s="85"/>
      <c r="TCA2" s="85"/>
      <c r="TCB2" s="85"/>
      <c r="TCC2" s="85"/>
      <c r="TCD2" s="85"/>
      <c r="TCE2" s="85"/>
      <c r="TCF2" s="85"/>
      <c r="TCG2" s="85"/>
      <c r="TCH2" s="85"/>
      <c r="TCI2" s="85"/>
      <c r="TCJ2" s="85"/>
      <c r="TCK2" s="85"/>
      <c r="TCL2" s="85"/>
      <c r="TCM2" s="85"/>
      <c r="TCN2" s="85"/>
      <c r="TCO2" s="85"/>
      <c r="TCP2" s="85"/>
      <c r="TCQ2" s="85"/>
      <c r="TCR2" s="85"/>
      <c r="TCS2" s="85"/>
      <c r="TCT2" s="85"/>
      <c r="TCU2" s="85"/>
      <c r="TCV2" s="85"/>
      <c r="TCW2" s="85"/>
      <c r="TCX2" s="85"/>
      <c r="TCY2" s="85"/>
      <c r="TCZ2" s="85"/>
      <c r="TDA2" s="85"/>
      <c r="TDB2" s="85"/>
      <c r="TDC2" s="85"/>
      <c r="TDD2" s="85"/>
      <c r="TDE2" s="85"/>
      <c r="TDF2" s="85"/>
      <c r="TDG2" s="85"/>
      <c r="TDH2" s="85"/>
      <c r="TDI2" s="85"/>
      <c r="TDJ2" s="85"/>
      <c r="TDK2" s="85"/>
      <c r="TDL2" s="85"/>
      <c r="TDM2" s="85"/>
      <c r="TDN2" s="85"/>
      <c r="TDO2" s="85"/>
      <c r="TDP2" s="85"/>
      <c r="TDQ2" s="85"/>
      <c r="TDR2" s="85"/>
      <c r="TDS2" s="85"/>
      <c r="TDT2" s="85"/>
      <c r="TDU2" s="85"/>
      <c r="TDV2" s="85"/>
      <c r="TDW2" s="85"/>
      <c r="TDX2" s="85"/>
      <c r="TDY2" s="85"/>
      <c r="TDZ2" s="85"/>
      <c r="TEA2" s="85"/>
      <c r="TEB2" s="85"/>
      <c r="TEC2" s="85"/>
      <c r="TED2" s="85"/>
      <c r="TEE2" s="85"/>
      <c r="TEF2" s="85"/>
      <c r="TEG2" s="85"/>
      <c r="TEH2" s="85"/>
      <c r="TEI2" s="85"/>
      <c r="TEJ2" s="85"/>
      <c r="TEK2" s="85"/>
      <c r="TEL2" s="85"/>
      <c r="TEM2" s="85"/>
      <c r="TEN2" s="85"/>
      <c r="TEO2" s="85"/>
      <c r="TEP2" s="85"/>
      <c r="TEQ2" s="85"/>
      <c r="TER2" s="85"/>
      <c r="TES2" s="85"/>
      <c r="TET2" s="85"/>
      <c r="TEU2" s="85"/>
      <c r="TEV2" s="85"/>
      <c r="TEW2" s="85"/>
      <c r="TEX2" s="85"/>
      <c r="TEY2" s="85"/>
      <c r="TEZ2" s="85"/>
      <c r="TFA2" s="85"/>
      <c r="TFB2" s="85"/>
      <c r="TFC2" s="85"/>
      <c r="TFD2" s="85"/>
      <c r="TFE2" s="85"/>
      <c r="TFF2" s="85"/>
      <c r="TFG2" s="85"/>
      <c r="TFH2" s="85"/>
      <c r="TFI2" s="85"/>
      <c r="TFJ2" s="85"/>
      <c r="TFK2" s="85"/>
      <c r="TFL2" s="85"/>
      <c r="TFM2" s="85"/>
      <c r="TFN2" s="85"/>
      <c r="TFO2" s="85"/>
      <c r="TFP2" s="85"/>
      <c r="TFQ2" s="85"/>
      <c r="TFR2" s="85"/>
      <c r="TFS2" s="85"/>
      <c r="TFT2" s="85"/>
      <c r="TFU2" s="85"/>
      <c r="TFV2" s="85"/>
      <c r="TFW2" s="85"/>
      <c r="TFX2" s="85"/>
      <c r="TFY2" s="85"/>
      <c r="TFZ2" s="85"/>
      <c r="TGA2" s="85"/>
      <c r="TGB2" s="85"/>
      <c r="TGC2" s="85"/>
      <c r="TGD2" s="85"/>
      <c r="TGE2" s="85"/>
      <c r="TGF2" s="85"/>
      <c r="TGG2" s="85"/>
      <c r="TGH2" s="85"/>
      <c r="TGI2" s="85"/>
      <c r="TGJ2" s="85"/>
      <c r="TGK2" s="85"/>
      <c r="TGL2" s="85"/>
      <c r="TGM2" s="85"/>
      <c r="TGN2" s="85"/>
      <c r="TGO2" s="85"/>
      <c r="TGP2" s="85"/>
      <c r="TGQ2" s="85"/>
      <c r="TGR2" s="85"/>
      <c r="TGS2" s="85"/>
      <c r="TGT2" s="85"/>
      <c r="TGU2" s="85"/>
      <c r="TGV2" s="85"/>
      <c r="TGW2" s="85"/>
      <c r="TGX2" s="85"/>
      <c r="TGY2" s="85"/>
      <c r="TGZ2" s="85"/>
      <c r="THA2" s="85"/>
      <c r="THB2" s="85"/>
      <c r="THC2" s="85"/>
      <c r="THD2" s="85"/>
      <c r="THE2" s="85"/>
      <c r="THF2" s="85"/>
      <c r="THG2" s="85"/>
      <c r="THH2" s="85"/>
      <c r="THI2" s="85"/>
      <c r="THJ2" s="85"/>
      <c r="THK2" s="85"/>
      <c r="THL2" s="85"/>
      <c r="THM2" s="85"/>
      <c r="THN2" s="85"/>
      <c r="THO2" s="85"/>
      <c r="THP2" s="85"/>
      <c r="THQ2" s="85"/>
      <c r="THR2" s="85"/>
      <c r="THS2" s="85"/>
      <c r="THT2" s="85"/>
      <c r="THU2" s="85"/>
      <c r="THV2" s="85"/>
      <c r="THW2" s="85"/>
      <c r="THX2" s="85"/>
      <c r="THY2" s="85"/>
      <c r="THZ2" s="85"/>
      <c r="TIA2" s="85"/>
      <c r="TIB2" s="85"/>
      <c r="TIC2" s="85"/>
      <c r="TID2" s="85"/>
      <c r="TIE2" s="85"/>
      <c r="TIF2" s="85"/>
      <c r="TIG2" s="85"/>
      <c r="TIH2" s="85"/>
      <c r="TII2" s="85"/>
      <c r="TIJ2" s="85"/>
      <c r="TIK2" s="85"/>
      <c r="TIL2" s="85"/>
      <c r="TIM2" s="85"/>
      <c r="TIN2" s="85"/>
      <c r="TIO2" s="85"/>
      <c r="TIP2" s="85"/>
      <c r="TIQ2" s="85"/>
      <c r="TIR2" s="85"/>
      <c r="TIS2" s="85"/>
      <c r="TIT2" s="85"/>
      <c r="TIU2" s="85"/>
      <c r="TIV2" s="85"/>
      <c r="TIW2" s="85"/>
      <c r="TIX2" s="85"/>
      <c r="TIY2" s="85"/>
      <c r="TIZ2" s="85"/>
      <c r="TJA2" s="85"/>
      <c r="TJB2" s="85"/>
      <c r="TJC2" s="85"/>
      <c r="TJD2" s="85"/>
      <c r="TJE2" s="85"/>
      <c r="TJF2" s="85"/>
      <c r="TJG2" s="85"/>
      <c r="TJH2" s="85"/>
      <c r="TJI2" s="85"/>
      <c r="TJJ2" s="85"/>
      <c r="TJK2" s="85"/>
      <c r="TJL2" s="85"/>
      <c r="TJM2" s="85"/>
      <c r="TJN2" s="85"/>
      <c r="TJO2" s="85"/>
      <c r="TJP2" s="85"/>
      <c r="TJQ2" s="85"/>
      <c r="TJR2" s="85"/>
      <c r="TJS2" s="85"/>
      <c r="TJT2" s="85"/>
      <c r="TJU2" s="85"/>
      <c r="TJV2" s="85"/>
      <c r="TJW2" s="85"/>
      <c r="TJX2" s="85"/>
      <c r="TJY2" s="85"/>
      <c r="TJZ2" s="85"/>
      <c r="TKA2" s="85"/>
      <c r="TKB2" s="85"/>
      <c r="TKC2" s="85"/>
      <c r="TKD2" s="85"/>
      <c r="TKE2" s="85"/>
      <c r="TKF2" s="85"/>
      <c r="TKG2" s="85"/>
      <c r="TKH2" s="85"/>
      <c r="TKI2" s="85"/>
      <c r="TKJ2" s="85"/>
      <c r="TKK2" s="85"/>
      <c r="TKL2" s="85"/>
      <c r="TKM2" s="85"/>
      <c r="TKN2" s="85"/>
      <c r="TKO2" s="85"/>
      <c r="TKP2" s="85"/>
      <c r="TKQ2" s="85"/>
      <c r="TKR2" s="85"/>
      <c r="TKS2" s="85"/>
      <c r="TKT2" s="85"/>
      <c r="TKU2" s="85"/>
      <c r="TKV2" s="85"/>
      <c r="TKW2" s="85"/>
      <c r="TKX2" s="85"/>
      <c r="TKY2" s="85"/>
      <c r="TKZ2" s="85"/>
      <c r="TLA2" s="85"/>
      <c r="TLB2" s="85"/>
      <c r="TLC2" s="85"/>
      <c r="TLD2" s="85"/>
      <c r="TLE2" s="85"/>
      <c r="TLF2" s="85"/>
      <c r="TLG2" s="85"/>
      <c r="TLH2" s="85"/>
      <c r="TLI2" s="85"/>
      <c r="TLJ2" s="85"/>
      <c r="TLK2" s="85"/>
      <c r="TLL2" s="85"/>
      <c r="TLM2" s="85"/>
      <c r="TLN2" s="85"/>
      <c r="TLO2" s="85"/>
      <c r="TLP2" s="85"/>
      <c r="TLQ2" s="85"/>
      <c r="TLR2" s="85"/>
      <c r="TLS2" s="85"/>
      <c r="TLT2" s="85"/>
      <c r="TLU2" s="85"/>
      <c r="TLV2" s="85"/>
      <c r="TLW2" s="85"/>
      <c r="TLX2" s="85"/>
      <c r="TLY2" s="85"/>
      <c r="TLZ2" s="85"/>
      <c r="TMA2" s="85"/>
      <c r="TMB2" s="85"/>
      <c r="TMC2" s="85"/>
      <c r="TMD2" s="85"/>
      <c r="TME2" s="85"/>
      <c r="TMF2" s="85"/>
      <c r="TMG2" s="85"/>
      <c r="TMH2" s="85"/>
      <c r="TMI2" s="85"/>
      <c r="TMJ2" s="85"/>
      <c r="TMK2" s="85"/>
      <c r="TML2" s="85"/>
      <c r="TMM2" s="85"/>
      <c r="TMN2" s="85"/>
      <c r="TMO2" s="85"/>
      <c r="TMP2" s="85"/>
      <c r="TMQ2" s="85"/>
      <c r="TMR2" s="85"/>
      <c r="TMS2" s="85"/>
      <c r="TMT2" s="85"/>
      <c r="TMU2" s="85"/>
      <c r="TMV2" s="85"/>
      <c r="TMW2" s="85"/>
      <c r="TMX2" s="85"/>
      <c r="TMY2" s="85"/>
      <c r="TMZ2" s="85"/>
      <c r="TNA2" s="85"/>
      <c r="TNB2" s="85"/>
      <c r="TNC2" s="85"/>
      <c r="TND2" s="85"/>
      <c r="TNE2" s="85"/>
      <c r="TNF2" s="85"/>
      <c r="TNG2" s="85"/>
      <c r="TNH2" s="85"/>
      <c r="TNI2" s="85"/>
      <c r="TNJ2" s="85"/>
      <c r="TNK2" s="85"/>
      <c r="TNL2" s="85"/>
      <c r="TNM2" s="85"/>
      <c r="TNN2" s="85"/>
      <c r="TNO2" s="85"/>
      <c r="TNP2" s="85"/>
      <c r="TNQ2" s="85"/>
      <c r="TNR2" s="85"/>
      <c r="TNS2" s="85"/>
      <c r="TNT2" s="85"/>
      <c r="TNU2" s="85"/>
      <c r="TNV2" s="85"/>
      <c r="TNW2" s="85"/>
      <c r="TNX2" s="85"/>
      <c r="TNY2" s="85"/>
      <c r="TNZ2" s="85"/>
      <c r="TOA2" s="85"/>
      <c r="TOB2" s="85"/>
      <c r="TOC2" s="85"/>
      <c r="TOD2" s="85"/>
      <c r="TOE2" s="85"/>
      <c r="TOF2" s="85"/>
      <c r="TOG2" s="85"/>
      <c r="TOH2" s="85"/>
      <c r="TOI2" s="85"/>
      <c r="TOJ2" s="85"/>
      <c r="TOK2" s="85"/>
      <c r="TOL2" s="85"/>
      <c r="TOM2" s="85"/>
      <c r="TON2" s="85"/>
      <c r="TOO2" s="85"/>
      <c r="TOP2" s="85"/>
      <c r="TOQ2" s="85"/>
      <c r="TOR2" s="85"/>
      <c r="TOS2" s="85"/>
      <c r="TOT2" s="85"/>
      <c r="TOU2" s="85"/>
      <c r="TOV2" s="85"/>
      <c r="TOW2" s="85"/>
      <c r="TOX2" s="85"/>
      <c r="TOY2" s="85"/>
      <c r="TOZ2" s="85"/>
      <c r="TPA2" s="85"/>
      <c r="TPB2" s="85"/>
      <c r="TPC2" s="85"/>
      <c r="TPD2" s="85"/>
      <c r="TPE2" s="85"/>
      <c r="TPF2" s="85"/>
      <c r="TPG2" s="85"/>
      <c r="TPH2" s="85"/>
      <c r="TPI2" s="85"/>
      <c r="TPJ2" s="85"/>
      <c r="TPK2" s="85"/>
      <c r="TPL2" s="85"/>
      <c r="TPM2" s="85"/>
      <c r="TPN2" s="85"/>
      <c r="TPO2" s="85"/>
      <c r="TPP2" s="85"/>
      <c r="TPQ2" s="85"/>
      <c r="TPR2" s="85"/>
      <c r="TPS2" s="85"/>
      <c r="TPT2" s="85"/>
      <c r="TPU2" s="85"/>
      <c r="TPV2" s="85"/>
      <c r="TPW2" s="85"/>
      <c r="TPX2" s="85"/>
      <c r="TPY2" s="85"/>
      <c r="TPZ2" s="85"/>
      <c r="TQA2" s="85"/>
      <c r="TQB2" s="85"/>
      <c r="TQC2" s="85"/>
      <c r="TQD2" s="85"/>
      <c r="TQE2" s="85"/>
      <c r="TQF2" s="85"/>
      <c r="TQG2" s="85"/>
      <c r="TQH2" s="85"/>
      <c r="TQI2" s="85"/>
      <c r="TQJ2" s="85"/>
      <c r="TQK2" s="85"/>
      <c r="TQL2" s="85"/>
      <c r="TQM2" s="85"/>
      <c r="TQN2" s="85"/>
      <c r="TQO2" s="85"/>
      <c r="TQP2" s="85"/>
      <c r="TQQ2" s="85"/>
      <c r="TQR2" s="85"/>
      <c r="TQS2" s="85"/>
      <c r="TQT2" s="85"/>
      <c r="TQU2" s="85"/>
      <c r="TQV2" s="85"/>
      <c r="TQW2" s="85"/>
      <c r="TQX2" s="85"/>
      <c r="TQY2" s="85"/>
      <c r="TQZ2" s="85"/>
      <c r="TRA2" s="85"/>
      <c r="TRB2" s="85"/>
      <c r="TRC2" s="85"/>
      <c r="TRD2" s="85"/>
      <c r="TRE2" s="85"/>
      <c r="TRF2" s="85"/>
      <c r="TRG2" s="85"/>
      <c r="TRH2" s="85"/>
      <c r="TRI2" s="85"/>
      <c r="TRJ2" s="85"/>
      <c r="TRK2" s="85"/>
      <c r="TRL2" s="85"/>
      <c r="TRM2" s="85"/>
      <c r="TRN2" s="85"/>
      <c r="TRO2" s="85"/>
      <c r="TRP2" s="85"/>
      <c r="TRQ2" s="85"/>
      <c r="TRR2" s="85"/>
      <c r="TRS2" s="85"/>
      <c r="TRT2" s="85"/>
      <c r="TRU2" s="85"/>
      <c r="TRV2" s="85"/>
      <c r="TRW2" s="85"/>
      <c r="TRX2" s="85"/>
      <c r="TRY2" s="85"/>
      <c r="TRZ2" s="85"/>
      <c r="TSA2" s="85"/>
      <c r="TSB2" s="85"/>
      <c r="TSC2" s="85"/>
      <c r="TSD2" s="85"/>
      <c r="TSE2" s="85"/>
      <c r="TSF2" s="85"/>
      <c r="TSG2" s="85"/>
      <c r="TSH2" s="85"/>
      <c r="TSI2" s="85"/>
      <c r="TSJ2" s="85"/>
      <c r="TSK2" s="85"/>
      <c r="TSL2" s="85"/>
      <c r="TSM2" s="85"/>
      <c r="TSN2" s="85"/>
      <c r="TSO2" s="85"/>
      <c r="TSP2" s="85"/>
      <c r="TSQ2" s="85"/>
      <c r="TSR2" s="85"/>
      <c r="TSS2" s="85"/>
      <c r="TST2" s="85"/>
      <c r="TSU2" s="85"/>
      <c r="TSV2" s="85"/>
      <c r="TSW2" s="85"/>
      <c r="TSX2" s="85"/>
      <c r="TSY2" s="85"/>
      <c r="TSZ2" s="85"/>
      <c r="TTA2" s="85"/>
      <c r="TTB2" s="85"/>
      <c r="TTC2" s="85"/>
      <c r="TTD2" s="85"/>
      <c r="TTE2" s="85"/>
      <c r="TTF2" s="85"/>
      <c r="TTG2" s="85"/>
      <c r="TTH2" s="85"/>
      <c r="TTI2" s="85"/>
      <c r="TTJ2" s="85"/>
      <c r="TTK2" s="85"/>
      <c r="TTL2" s="85"/>
      <c r="TTM2" s="85"/>
      <c r="TTN2" s="85"/>
      <c r="TTO2" s="85"/>
      <c r="TTP2" s="85"/>
      <c r="TTQ2" s="85"/>
      <c r="TTR2" s="85"/>
      <c r="TTS2" s="85"/>
      <c r="TTT2" s="85"/>
      <c r="TTU2" s="85"/>
      <c r="TTV2" s="85"/>
      <c r="TTW2" s="85"/>
      <c r="TTX2" s="85"/>
      <c r="TTY2" s="85"/>
      <c r="TTZ2" s="85"/>
      <c r="TUA2" s="85"/>
      <c r="TUB2" s="85"/>
      <c r="TUC2" s="85"/>
      <c r="TUD2" s="85"/>
      <c r="TUE2" s="85"/>
      <c r="TUF2" s="85"/>
      <c r="TUG2" s="85"/>
      <c r="TUH2" s="85"/>
      <c r="TUI2" s="85"/>
      <c r="TUJ2" s="85"/>
      <c r="TUK2" s="85"/>
      <c r="TUL2" s="85"/>
      <c r="TUM2" s="85"/>
      <c r="TUN2" s="85"/>
      <c r="TUO2" s="85"/>
      <c r="TUP2" s="85"/>
      <c r="TUQ2" s="85"/>
      <c r="TUR2" s="85"/>
      <c r="TUS2" s="85"/>
      <c r="TUT2" s="85"/>
      <c r="TUU2" s="85"/>
      <c r="TUV2" s="85"/>
      <c r="TUW2" s="85"/>
      <c r="TUX2" s="85"/>
      <c r="TUY2" s="85"/>
      <c r="TUZ2" s="85"/>
      <c r="TVA2" s="85"/>
      <c r="TVB2" s="85"/>
      <c r="TVC2" s="85"/>
      <c r="TVD2" s="85"/>
      <c r="TVE2" s="85"/>
      <c r="TVF2" s="85"/>
      <c r="TVG2" s="85"/>
      <c r="TVH2" s="85"/>
      <c r="TVI2" s="85"/>
      <c r="TVJ2" s="85"/>
      <c r="TVK2" s="85"/>
      <c r="TVL2" s="85"/>
      <c r="TVM2" s="85"/>
      <c r="TVN2" s="85"/>
      <c r="TVO2" s="85"/>
      <c r="TVP2" s="85"/>
      <c r="TVQ2" s="85"/>
      <c r="TVR2" s="85"/>
      <c r="TVS2" s="85"/>
      <c r="TVT2" s="85"/>
      <c r="TVU2" s="85"/>
      <c r="TVV2" s="85"/>
      <c r="TVW2" s="85"/>
      <c r="TVX2" s="85"/>
      <c r="TVY2" s="85"/>
      <c r="TVZ2" s="85"/>
      <c r="TWA2" s="85"/>
      <c r="TWB2" s="85"/>
      <c r="TWC2" s="85"/>
      <c r="TWD2" s="85"/>
      <c r="TWE2" s="85"/>
      <c r="TWF2" s="85"/>
      <c r="TWG2" s="85"/>
      <c r="TWH2" s="85"/>
      <c r="TWI2" s="85"/>
      <c r="TWJ2" s="85"/>
      <c r="TWK2" s="85"/>
      <c r="TWL2" s="85"/>
      <c r="TWM2" s="85"/>
      <c r="TWN2" s="85"/>
      <c r="TWO2" s="85"/>
      <c r="TWP2" s="85"/>
      <c r="TWQ2" s="85"/>
      <c r="TWR2" s="85"/>
      <c r="TWS2" s="85"/>
      <c r="TWT2" s="85"/>
      <c r="TWU2" s="85"/>
      <c r="TWV2" s="85"/>
      <c r="TWW2" s="85"/>
      <c r="TWX2" s="85"/>
      <c r="TWY2" s="85"/>
      <c r="TWZ2" s="85"/>
      <c r="TXA2" s="85"/>
      <c r="TXB2" s="85"/>
      <c r="TXC2" s="85"/>
      <c r="TXD2" s="85"/>
      <c r="TXE2" s="85"/>
      <c r="TXF2" s="85"/>
      <c r="TXG2" s="85"/>
      <c r="TXH2" s="85"/>
      <c r="TXI2" s="85"/>
      <c r="TXJ2" s="85"/>
      <c r="TXK2" s="85"/>
      <c r="TXL2" s="85"/>
      <c r="TXM2" s="85"/>
      <c r="TXN2" s="85"/>
      <c r="TXO2" s="85"/>
      <c r="TXP2" s="85"/>
      <c r="TXQ2" s="85"/>
      <c r="TXR2" s="85"/>
      <c r="TXS2" s="85"/>
      <c r="TXT2" s="85"/>
      <c r="TXU2" s="85"/>
      <c r="TXV2" s="85"/>
      <c r="TXW2" s="85"/>
      <c r="TXX2" s="85"/>
      <c r="TXY2" s="85"/>
      <c r="TXZ2" s="85"/>
      <c r="TYA2" s="85"/>
      <c r="TYB2" s="85"/>
      <c r="TYC2" s="85"/>
      <c r="TYD2" s="85"/>
      <c r="TYE2" s="85"/>
      <c r="TYF2" s="85"/>
      <c r="TYG2" s="85"/>
      <c r="TYH2" s="85"/>
      <c r="TYI2" s="85"/>
      <c r="TYJ2" s="85"/>
      <c r="TYK2" s="85"/>
      <c r="TYL2" s="85"/>
      <c r="TYM2" s="85"/>
      <c r="TYN2" s="85"/>
      <c r="TYO2" s="85"/>
      <c r="TYP2" s="85"/>
      <c r="TYQ2" s="85"/>
      <c r="TYR2" s="85"/>
      <c r="TYS2" s="85"/>
      <c r="TYT2" s="85"/>
      <c r="TYU2" s="85"/>
      <c r="TYV2" s="85"/>
      <c r="TYW2" s="85"/>
      <c r="TYX2" s="85"/>
      <c r="TYY2" s="85"/>
      <c r="TYZ2" s="85"/>
      <c r="TZA2" s="85"/>
      <c r="TZB2" s="85"/>
      <c r="TZC2" s="85"/>
      <c r="TZD2" s="85"/>
      <c r="TZE2" s="85"/>
      <c r="TZF2" s="85"/>
      <c r="TZG2" s="85"/>
      <c r="TZH2" s="85"/>
      <c r="TZI2" s="85"/>
      <c r="TZJ2" s="85"/>
      <c r="TZK2" s="85"/>
      <c r="TZL2" s="85"/>
      <c r="TZM2" s="85"/>
      <c r="TZN2" s="85"/>
      <c r="TZO2" s="85"/>
      <c r="TZP2" s="85"/>
      <c r="TZQ2" s="85"/>
      <c r="TZR2" s="85"/>
      <c r="TZS2" s="85"/>
      <c r="TZT2" s="85"/>
      <c r="TZU2" s="85"/>
      <c r="TZV2" s="85"/>
      <c r="TZW2" s="85"/>
      <c r="TZX2" s="85"/>
      <c r="TZY2" s="85"/>
      <c r="TZZ2" s="85"/>
      <c r="UAA2" s="85"/>
      <c r="UAB2" s="85"/>
      <c r="UAC2" s="85"/>
      <c r="UAD2" s="85"/>
      <c r="UAE2" s="85"/>
      <c r="UAF2" s="85"/>
      <c r="UAG2" s="85"/>
      <c r="UAH2" s="85"/>
      <c r="UAI2" s="85"/>
      <c r="UAJ2" s="85"/>
      <c r="UAK2" s="85"/>
      <c r="UAL2" s="85"/>
      <c r="UAM2" s="85"/>
      <c r="UAN2" s="85"/>
      <c r="UAO2" s="85"/>
      <c r="UAP2" s="85"/>
      <c r="UAQ2" s="85"/>
      <c r="UAR2" s="85"/>
      <c r="UAS2" s="85"/>
      <c r="UAT2" s="85"/>
      <c r="UAU2" s="85"/>
      <c r="UAV2" s="85"/>
      <c r="UAW2" s="85"/>
      <c r="UAX2" s="85"/>
      <c r="UAY2" s="85"/>
      <c r="UAZ2" s="85"/>
      <c r="UBA2" s="85"/>
      <c r="UBB2" s="85"/>
      <c r="UBC2" s="85"/>
      <c r="UBD2" s="85"/>
      <c r="UBE2" s="85"/>
      <c r="UBF2" s="85"/>
      <c r="UBG2" s="85"/>
      <c r="UBH2" s="85"/>
      <c r="UBI2" s="85"/>
      <c r="UBJ2" s="85"/>
      <c r="UBK2" s="85"/>
      <c r="UBL2" s="85"/>
      <c r="UBM2" s="85"/>
      <c r="UBN2" s="85"/>
      <c r="UBO2" s="85"/>
      <c r="UBP2" s="85"/>
      <c r="UBQ2" s="85"/>
      <c r="UBR2" s="85"/>
      <c r="UBS2" s="85"/>
      <c r="UBT2" s="85"/>
      <c r="UBU2" s="85"/>
      <c r="UBV2" s="85"/>
      <c r="UBW2" s="85"/>
      <c r="UBX2" s="85"/>
      <c r="UBY2" s="85"/>
      <c r="UBZ2" s="85"/>
      <c r="UCA2" s="85"/>
      <c r="UCB2" s="85"/>
      <c r="UCC2" s="85"/>
      <c r="UCD2" s="85"/>
      <c r="UCE2" s="85"/>
      <c r="UCF2" s="85"/>
      <c r="UCG2" s="85"/>
      <c r="UCH2" s="85"/>
      <c r="UCI2" s="85"/>
      <c r="UCJ2" s="85"/>
      <c r="UCK2" s="85"/>
      <c r="UCL2" s="85"/>
      <c r="UCM2" s="85"/>
      <c r="UCN2" s="85"/>
      <c r="UCO2" s="85"/>
      <c r="UCP2" s="85"/>
      <c r="UCQ2" s="85"/>
      <c r="UCR2" s="85"/>
      <c r="UCS2" s="85"/>
      <c r="UCT2" s="85"/>
      <c r="UCU2" s="85"/>
      <c r="UCV2" s="85"/>
      <c r="UCW2" s="85"/>
      <c r="UCX2" s="85"/>
      <c r="UCY2" s="85"/>
      <c r="UCZ2" s="85"/>
      <c r="UDA2" s="85"/>
      <c r="UDB2" s="85"/>
      <c r="UDC2" s="85"/>
      <c r="UDD2" s="85"/>
      <c r="UDE2" s="85"/>
      <c r="UDF2" s="85"/>
      <c r="UDG2" s="85"/>
      <c r="UDH2" s="85"/>
      <c r="UDI2" s="85"/>
      <c r="UDJ2" s="85"/>
      <c r="UDK2" s="85"/>
      <c r="UDL2" s="85"/>
      <c r="UDM2" s="85"/>
      <c r="UDN2" s="85"/>
      <c r="UDO2" s="85"/>
      <c r="UDP2" s="85"/>
      <c r="UDQ2" s="85"/>
      <c r="UDR2" s="85"/>
      <c r="UDS2" s="85"/>
      <c r="UDT2" s="85"/>
      <c r="UDU2" s="85"/>
      <c r="UDV2" s="85"/>
      <c r="UDW2" s="85"/>
      <c r="UDX2" s="85"/>
      <c r="UDY2" s="85"/>
      <c r="UDZ2" s="85"/>
      <c r="UEA2" s="85"/>
      <c r="UEB2" s="85"/>
      <c r="UEC2" s="85"/>
      <c r="UED2" s="85"/>
      <c r="UEE2" s="85"/>
      <c r="UEF2" s="85"/>
      <c r="UEG2" s="85"/>
      <c r="UEH2" s="85"/>
      <c r="UEI2" s="85"/>
      <c r="UEJ2" s="85"/>
      <c r="UEK2" s="85"/>
      <c r="UEL2" s="85"/>
      <c r="UEM2" s="85"/>
      <c r="UEN2" s="85"/>
      <c r="UEO2" s="85"/>
      <c r="UEP2" s="85"/>
      <c r="UEQ2" s="85"/>
      <c r="UER2" s="85"/>
      <c r="UES2" s="85"/>
      <c r="UET2" s="85"/>
      <c r="UEU2" s="85"/>
      <c r="UEV2" s="85"/>
      <c r="UEW2" s="85"/>
      <c r="UEX2" s="85"/>
      <c r="UEY2" s="85"/>
      <c r="UEZ2" s="85"/>
      <c r="UFA2" s="85"/>
      <c r="UFB2" s="85"/>
      <c r="UFC2" s="85"/>
      <c r="UFD2" s="85"/>
      <c r="UFE2" s="85"/>
      <c r="UFF2" s="85"/>
      <c r="UFG2" s="85"/>
      <c r="UFH2" s="85"/>
      <c r="UFI2" s="85"/>
      <c r="UFJ2" s="85"/>
      <c r="UFK2" s="85"/>
      <c r="UFL2" s="85"/>
      <c r="UFM2" s="85"/>
      <c r="UFN2" s="85"/>
      <c r="UFO2" s="85"/>
      <c r="UFP2" s="85"/>
      <c r="UFQ2" s="85"/>
      <c r="UFR2" s="85"/>
      <c r="UFS2" s="85"/>
      <c r="UFT2" s="85"/>
      <c r="UFU2" s="85"/>
      <c r="UFV2" s="85"/>
      <c r="UFW2" s="85"/>
      <c r="UFX2" s="85"/>
      <c r="UFY2" s="85"/>
      <c r="UFZ2" s="85"/>
      <c r="UGA2" s="85"/>
      <c r="UGB2" s="85"/>
      <c r="UGC2" s="85"/>
      <c r="UGD2" s="85"/>
      <c r="UGE2" s="85"/>
      <c r="UGF2" s="85"/>
      <c r="UGG2" s="85"/>
      <c r="UGH2" s="85"/>
      <c r="UGI2" s="85"/>
      <c r="UGJ2" s="85"/>
      <c r="UGK2" s="85"/>
      <c r="UGL2" s="85"/>
      <c r="UGM2" s="85"/>
      <c r="UGN2" s="85"/>
      <c r="UGO2" s="85"/>
      <c r="UGP2" s="85"/>
      <c r="UGQ2" s="85"/>
      <c r="UGR2" s="85"/>
      <c r="UGS2" s="85"/>
      <c r="UGT2" s="85"/>
      <c r="UGU2" s="85"/>
      <c r="UGV2" s="85"/>
      <c r="UGW2" s="85"/>
      <c r="UGX2" s="85"/>
      <c r="UGY2" s="85"/>
      <c r="UGZ2" s="85"/>
      <c r="UHA2" s="85"/>
      <c r="UHB2" s="85"/>
      <c r="UHC2" s="85"/>
      <c r="UHD2" s="85"/>
      <c r="UHE2" s="85"/>
      <c r="UHF2" s="85"/>
      <c r="UHG2" s="85"/>
      <c r="UHH2" s="85"/>
      <c r="UHI2" s="85"/>
      <c r="UHJ2" s="85"/>
      <c r="UHK2" s="85"/>
      <c r="UHL2" s="85"/>
      <c r="UHM2" s="85"/>
      <c r="UHN2" s="85"/>
      <c r="UHO2" s="85"/>
      <c r="UHP2" s="85"/>
      <c r="UHQ2" s="85"/>
      <c r="UHR2" s="85"/>
      <c r="UHS2" s="85"/>
      <c r="UHT2" s="85"/>
      <c r="UHU2" s="85"/>
      <c r="UHV2" s="85"/>
      <c r="UHW2" s="85"/>
      <c r="UHX2" s="85"/>
      <c r="UHY2" s="85"/>
      <c r="UHZ2" s="85"/>
      <c r="UIA2" s="85"/>
      <c r="UIB2" s="85"/>
      <c r="UIC2" s="85"/>
      <c r="UID2" s="85"/>
      <c r="UIE2" s="85"/>
      <c r="UIF2" s="85"/>
      <c r="UIG2" s="85"/>
      <c r="UIH2" s="85"/>
      <c r="UII2" s="85"/>
      <c r="UIJ2" s="85"/>
      <c r="UIK2" s="85"/>
      <c r="UIL2" s="85"/>
      <c r="UIM2" s="85"/>
      <c r="UIN2" s="85"/>
      <c r="UIO2" s="85"/>
      <c r="UIP2" s="85"/>
      <c r="UIQ2" s="85"/>
      <c r="UIR2" s="85"/>
      <c r="UIS2" s="85"/>
      <c r="UIT2" s="85"/>
      <c r="UIU2" s="85"/>
      <c r="UIV2" s="85"/>
      <c r="UIW2" s="85"/>
      <c r="UIX2" s="85"/>
      <c r="UIY2" s="85"/>
      <c r="UIZ2" s="85"/>
      <c r="UJA2" s="85"/>
      <c r="UJB2" s="85"/>
      <c r="UJC2" s="85"/>
      <c r="UJD2" s="85"/>
      <c r="UJE2" s="85"/>
      <c r="UJF2" s="85"/>
      <c r="UJG2" s="85"/>
      <c r="UJH2" s="85"/>
      <c r="UJI2" s="85"/>
      <c r="UJJ2" s="85"/>
      <c r="UJK2" s="85"/>
      <c r="UJL2" s="85"/>
      <c r="UJM2" s="85"/>
      <c r="UJN2" s="85"/>
      <c r="UJO2" s="85"/>
      <c r="UJP2" s="85"/>
      <c r="UJQ2" s="85"/>
      <c r="UJR2" s="85"/>
      <c r="UJS2" s="85"/>
      <c r="UJT2" s="85"/>
      <c r="UJU2" s="85"/>
      <c r="UJV2" s="85"/>
      <c r="UJW2" s="85"/>
      <c r="UJX2" s="85"/>
      <c r="UJY2" s="85"/>
      <c r="UJZ2" s="85"/>
      <c r="UKA2" s="85"/>
      <c r="UKB2" s="85"/>
      <c r="UKC2" s="85"/>
      <c r="UKD2" s="85"/>
      <c r="UKE2" s="85"/>
      <c r="UKF2" s="85"/>
      <c r="UKG2" s="85"/>
      <c r="UKH2" s="85"/>
      <c r="UKI2" s="85"/>
      <c r="UKJ2" s="85"/>
      <c r="UKK2" s="85"/>
      <c r="UKL2" s="85"/>
      <c r="UKM2" s="85"/>
      <c r="UKN2" s="85"/>
      <c r="UKO2" s="85"/>
      <c r="UKP2" s="85"/>
      <c r="UKQ2" s="85"/>
      <c r="UKR2" s="85"/>
      <c r="UKS2" s="85"/>
      <c r="UKT2" s="85"/>
      <c r="UKU2" s="85"/>
      <c r="UKV2" s="85"/>
      <c r="UKW2" s="85"/>
      <c r="UKX2" s="85"/>
      <c r="UKY2" s="85"/>
      <c r="UKZ2" s="85"/>
      <c r="ULA2" s="85"/>
      <c r="ULB2" s="85"/>
      <c r="ULC2" s="85"/>
      <c r="ULD2" s="85"/>
      <c r="ULE2" s="85"/>
      <c r="ULF2" s="85"/>
      <c r="ULG2" s="85"/>
      <c r="ULH2" s="85"/>
      <c r="ULI2" s="85"/>
      <c r="ULJ2" s="85"/>
      <c r="ULK2" s="85"/>
      <c r="ULL2" s="85"/>
      <c r="ULM2" s="85"/>
      <c r="ULN2" s="85"/>
      <c r="ULO2" s="85"/>
      <c r="ULP2" s="85"/>
      <c r="ULQ2" s="85"/>
      <c r="ULR2" s="85"/>
      <c r="ULS2" s="85"/>
      <c r="ULT2" s="85"/>
      <c r="ULU2" s="85"/>
      <c r="ULV2" s="85"/>
      <c r="ULW2" s="85"/>
      <c r="ULX2" s="85"/>
      <c r="ULY2" s="85"/>
      <c r="ULZ2" s="85"/>
      <c r="UMA2" s="85"/>
      <c r="UMB2" s="85"/>
      <c r="UMC2" s="85"/>
      <c r="UMD2" s="85"/>
      <c r="UME2" s="85"/>
      <c r="UMF2" s="85"/>
      <c r="UMG2" s="85"/>
      <c r="UMH2" s="85"/>
      <c r="UMI2" s="85"/>
      <c r="UMJ2" s="85"/>
      <c r="UMK2" s="85"/>
      <c r="UML2" s="85"/>
      <c r="UMM2" s="85"/>
      <c r="UMN2" s="85"/>
      <c r="UMO2" s="85"/>
      <c r="UMP2" s="85"/>
      <c r="UMQ2" s="85"/>
      <c r="UMR2" s="85"/>
      <c r="UMS2" s="85"/>
      <c r="UMT2" s="85"/>
      <c r="UMU2" s="85"/>
      <c r="UMV2" s="85"/>
      <c r="UMW2" s="85"/>
      <c r="UMX2" s="85"/>
      <c r="UMY2" s="85"/>
      <c r="UMZ2" s="85"/>
      <c r="UNA2" s="85"/>
      <c r="UNB2" s="85"/>
      <c r="UNC2" s="85"/>
      <c r="UND2" s="85"/>
      <c r="UNE2" s="85"/>
      <c r="UNF2" s="85"/>
      <c r="UNG2" s="85"/>
      <c r="UNH2" s="85"/>
      <c r="UNI2" s="85"/>
      <c r="UNJ2" s="85"/>
      <c r="UNK2" s="85"/>
      <c r="UNL2" s="85"/>
      <c r="UNM2" s="85"/>
      <c r="UNN2" s="85"/>
      <c r="UNO2" s="85"/>
      <c r="UNP2" s="85"/>
      <c r="UNQ2" s="85"/>
      <c r="UNR2" s="85"/>
      <c r="UNS2" s="85"/>
      <c r="UNT2" s="85"/>
      <c r="UNU2" s="85"/>
      <c r="UNV2" s="85"/>
      <c r="UNW2" s="85"/>
      <c r="UNX2" s="85"/>
      <c r="UNY2" s="85"/>
      <c r="UNZ2" s="85"/>
      <c r="UOA2" s="85"/>
      <c r="UOB2" s="85"/>
      <c r="UOC2" s="85"/>
      <c r="UOD2" s="85"/>
      <c r="UOE2" s="85"/>
      <c r="UOF2" s="85"/>
      <c r="UOG2" s="85"/>
      <c r="UOH2" s="85"/>
      <c r="UOI2" s="85"/>
      <c r="UOJ2" s="85"/>
      <c r="UOK2" s="85"/>
      <c r="UOL2" s="85"/>
      <c r="UOM2" s="85"/>
      <c r="UON2" s="85"/>
      <c r="UOO2" s="85"/>
      <c r="UOP2" s="85"/>
      <c r="UOQ2" s="85"/>
      <c r="UOR2" s="85"/>
      <c r="UOS2" s="85"/>
      <c r="UOT2" s="85"/>
      <c r="UOU2" s="85"/>
      <c r="UOV2" s="85"/>
      <c r="UOW2" s="85"/>
      <c r="UOX2" s="85"/>
      <c r="UOY2" s="85"/>
      <c r="UOZ2" s="85"/>
      <c r="UPA2" s="85"/>
      <c r="UPB2" s="85"/>
      <c r="UPC2" s="85"/>
      <c r="UPD2" s="85"/>
      <c r="UPE2" s="85"/>
      <c r="UPF2" s="85"/>
      <c r="UPG2" s="85"/>
      <c r="UPH2" s="85"/>
      <c r="UPI2" s="85"/>
      <c r="UPJ2" s="85"/>
      <c r="UPK2" s="85"/>
      <c r="UPL2" s="85"/>
      <c r="UPM2" s="85"/>
      <c r="UPN2" s="85"/>
      <c r="UPO2" s="85"/>
      <c r="UPP2" s="85"/>
      <c r="UPQ2" s="85"/>
      <c r="UPR2" s="85"/>
      <c r="UPS2" s="85"/>
      <c r="UPT2" s="85"/>
      <c r="UPU2" s="85"/>
      <c r="UPV2" s="85"/>
      <c r="UPW2" s="85"/>
      <c r="UPX2" s="85"/>
      <c r="UPY2" s="85"/>
      <c r="UPZ2" s="85"/>
      <c r="UQA2" s="85"/>
      <c r="UQB2" s="85"/>
      <c r="UQC2" s="85"/>
      <c r="UQD2" s="85"/>
      <c r="UQE2" s="85"/>
      <c r="UQF2" s="85"/>
      <c r="UQG2" s="85"/>
      <c r="UQH2" s="85"/>
      <c r="UQI2" s="85"/>
      <c r="UQJ2" s="85"/>
      <c r="UQK2" s="85"/>
      <c r="UQL2" s="85"/>
      <c r="UQM2" s="85"/>
      <c r="UQN2" s="85"/>
      <c r="UQO2" s="85"/>
      <c r="UQP2" s="85"/>
      <c r="UQQ2" s="85"/>
      <c r="UQR2" s="85"/>
      <c r="UQS2" s="85"/>
      <c r="UQT2" s="85"/>
      <c r="UQU2" s="85"/>
      <c r="UQV2" s="85"/>
      <c r="UQW2" s="85"/>
      <c r="UQX2" s="85"/>
      <c r="UQY2" s="85"/>
      <c r="UQZ2" s="85"/>
      <c r="URA2" s="85"/>
      <c r="URB2" s="85"/>
      <c r="URC2" s="85"/>
      <c r="URD2" s="85"/>
      <c r="URE2" s="85"/>
      <c r="URF2" s="85"/>
      <c r="URG2" s="85"/>
      <c r="URH2" s="85"/>
      <c r="URI2" s="85"/>
      <c r="URJ2" s="85"/>
      <c r="URK2" s="85"/>
      <c r="URL2" s="85"/>
      <c r="URM2" s="85"/>
      <c r="URN2" s="85"/>
      <c r="URO2" s="85"/>
      <c r="URP2" s="85"/>
      <c r="URQ2" s="85"/>
      <c r="URR2" s="85"/>
      <c r="URS2" s="85"/>
      <c r="URT2" s="85"/>
      <c r="URU2" s="85"/>
      <c r="URV2" s="85"/>
      <c r="URW2" s="85"/>
      <c r="URX2" s="85"/>
      <c r="URY2" s="85"/>
      <c r="URZ2" s="85"/>
      <c r="USA2" s="85"/>
      <c r="USB2" s="85"/>
      <c r="USC2" s="85"/>
      <c r="USD2" s="85"/>
      <c r="USE2" s="85"/>
      <c r="USF2" s="85"/>
      <c r="USG2" s="85"/>
      <c r="USH2" s="85"/>
      <c r="USI2" s="85"/>
      <c r="USJ2" s="85"/>
      <c r="USK2" s="85"/>
      <c r="USL2" s="85"/>
      <c r="USM2" s="85"/>
      <c r="USN2" s="85"/>
      <c r="USO2" s="85"/>
      <c r="USP2" s="85"/>
      <c r="USQ2" s="85"/>
      <c r="USR2" s="85"/>
      <c r="USS2" s="85"/>
      <c r="UST2" s="85"/>
      <c r="USU2" s="85"/>
      <c r="USV2" s="85"/>
      <c r="USW2" s="85"/>
      <c r="USX2" s="85"/>
      <c r="USY2" s="85"/>
      <c r="USZ2" s="85"/>
      <c r="UTA2" s="85"/>
      <c r="UTB2" s="85"/>
      <c r="UTC2" s="85"/>
      <c r="UTD2" s="85"/>
      <c r="UTE2" s="85"/>
      <c r="UTF2" s="85"/>
      <c r="UTG2" s="85"/>
      <c r="UTH2" s="85"/>
      <c r="UTI2" s="85"/>
      <c r="UTJ2" s="85"/>
      <c r="UTK2" s="85"/>
      <c r="UTL2" s="85"/>
      <c r="UTM2" s="85"/>
      <c r="UTN2" s="85"/>
      <c r="UTO2" s="85"/>
      <c r="UTP2" s="85"/>
      <c r="UTQ2" s="85"/>
      <c r="UTR2" s="85"/>
      <c r="UTS2" s="85"/>
      <c r="UTT2" s="85"/>
      <c r="UTU2" s="85"/>
      <c r="UTV2" s="85"/>
      <c r="UTW2" s="85"/>
      <c r="UTX2" s="85"/>
      <c r="UTY2" s="85"/>
      <c r="UTZ2" s="85"/>
      <c r="UUA2" s="85"/>
      <c r="UUB2" s="85"/>
      <c r="UUC2" s="85"/>
      <c r="UUD2" s="85"/>
      <c r="UUE2" s="85"/>
      <c r="UUF2" s="85"/>
      <c r="UUG2" s="85"/>
      <c r="UUH2" s="85"/>
      <c r="UUI2" s="85"/>
      <c r="UUJ2" s="85"/>
      <c r="UUK2" s="85"/>
      <c r="UUL2" s="85"/>
      <c r="UUM2" s="85"/>
      <c r="UUN2" s="85"/>
      <c r="UUO2" s="85"/>
      <c r="UUP2" s="85"/>
      <c r="UUQ2" s="85"/>
      <c r="UUR2" s="85"/>
      <c r="UUS2" s="85"/>
      <c r="UUT2" s="85"/>
      <c r="UUU2" s="85"/>
      <c r="UUV2" s="85"/>
      <c r="UUW2" s="85"/>
      <c r="UUX2" s="85"/>
      <c r="UUY2" s="85"/>
      <c r="UUZ2" s="85"/>
      <c r="UVA2" s="85"/>
      <c r="UVB2" s="85"/>
      <c r="UVC2" s="85"/>
      <c r="UVD2" s="85"/>
      <c r="UVE2" s="85"/>
      <c r="UVF2" s="85"/>
      <c r="UVG2" s="85"/>
      <c r="UVH2" s="85"/>
      <c r="UVI2" s="85"/>
      <c r="UVJ2" s="85"/>
      <c r="UVK2" s="85"/>
      <c r="UVL2" s="85"/>
      <c r="UVM2" s="85"/>
      <c r="UVN2" s="85"/>
      <c r="UVO2" s="85"/>
      <c r="UVP2" s="85"/>
      <c r="UVQ2" s="85"/>
      <c r="UVR2" s="85"/>
      <c r="UVS2" s="85"/>
      <c r="UVT2" s="85"/>
      <c r="UVU2" s="85"/>
      <c r="UVV2" s="85"/>
      <c r="UVW2" s="85"/>
      <c r="UVX2" s="85"/>
      <c r="UVY2" s="85"/>
      <c r="UVZ2" s="85"/>
      <c r="UWA2" s="85"/>
      <c r="UWB2" s="85"/>
      <c r="UWC2" s="85"/>
      <c r="UWD2" s="85"/>
      <c r="UWE2" s="85"/>
      <c r="UWF2" s="85"/>
      <c r="UWG2" s="85"/>
      <c r="UWH2" s="85"/>
      <c r="UWI2" s="85"/>
      <c r="UWJ2" s="85"/>
      <c r="UWK2" s="85"/>
      <c r="UWL2" s="85"/>
      <c r="UWM2" s="85"/>
      <c r="UWN2" s="85"/>
      <c r="UWO2" s="85"/>
      <c r="UWP2" s="85"/>
      <c r="UWQ2" s="85"/>
      <c r="UWR2" s="85"/>
      <c r="UWS2" s="85"/>
      <c r="UWT2" s="85"/>
      <c r="UWU2" s="85"/>
      <c r="UWV2" s="85"/>
      <c r="UWW2" s="85"/>
      <c r="UWX2" s="85"/>
      <c r="UWY2" s="85"/>
      <c r="UWZ2" s="85"/>
      <c r="UXA2" s="85"/>
      <c r="UXB2" s="85"/>
      <c r="UXC2" s="85"/>
      <c r="UXD2" s="85"/>
      <c r="UXE2" s="85"/>
      <c r="UXF2" s="85"/>
      <c r="UXG2" s="85"/>
      <c r="UXH2" s="85"/>
      <c r="UXI2" s="85"/>
      <c r="UXJ2" s="85"/>
      <c r="UXK2" s="85"/>
      <c r="UXL2" s="85"/>
      <c r="UXM2" s="85"/>
      <c r="UXN2" s="85"/>
      <c r="UXO2" s="85"/>
      <c r="UXP2" s="85"/>
      <c r="UXQ2" s="85"/>
      <c r="UXR2" s="85"/>
      <c r="UXS2" s="85"/>
      <c r="UXT2" s="85"/>
      <c r="UXU2" s="85"/>
      <c r="UXV2" s="85"/>
      <c r="UXW2" s="85"/>
      <c r="UXX2" s="85"/>
      <c r="UXY2" s="85"/>
      <c r="UXZ2" s="85"/>
      <c r="UYA2" s="85"/>
      <c r="UYB2" s="85"/>
      <c r="UYC2" s="85"/>
      <c r="UYD2" s="85"/>
      <c r="UYE2" s="85"/>
      <c r="UYF2" s="85"/>
      <c r="UYG2" s="85"/>
      <c r="UYH2" s="85"/>
      <c r="UYI2" s="85"/>
      <c r="UYJ2" s="85"/>
      <c r="UYK2" s="85"/>
      <c r="UYL2" s="85"/>
      <c r="UYM2" s="85"/>
      <c r="UYN2" s="85"/>
      <c r="UYO2" s="85"/>
      <c r="UYP2" s="85"/>
      <c r="UYQ2" s="85"/>
      <c r="UYR2" s="85"/>
      <c r="UYS2" s="85"/>
      <c r="UYT2" s="85"/>
      <c r="UYU2" s="85"/>
      <c r="UYV2" s="85"/>
      <c r="UYW2" s="85"/>
      <c r="UYX2" s="85"/>
      <c r="UYY2" s="85"/>
      <c r="UYZ2" s="85"/>
      <c r="UZA2" s="85"/>
      <c r="UZB2" s="85"/>
      <c r="UZC2" s="85"/>
      <c r="UZD2" s="85"/>
      <c r="UZE2" s="85"/>
      <c r="UZF2" s="85"/>
      <c r="UZG2" s="85"/>
      <c r="UZH2" s="85"/>
      <c r="UZI2" s="85"/>
      <c r="UZJ2" s="85"/>
      <c r="UZK2" s="85"/>
      <c r="UZL2" s="85"/>
      <c r="UZM2" s="85"/>
      <c r="UZN2" s="85"/>
      <c r="UZO2" s="85"/>
      <c r="UZP2" s="85"/>
      <c r="UZQ2" s="85"/>
      <c r="UZR2" s="85"/>
      <c r="UZS2" s="85"/>
      <c r="UZT2" s="85"/>
      <c r="UZU2" s="85"/>
      <c r="UZV2" s="85"/>
      <c r="UZW2" s="85"/>
      <c r="UZX2" s="85"/>
      <c r="UZY2" s="85"/>
      <c r="UZZ2" s="85"/>
      <c r="VAA2" s="85"/>
      <c r="VAB2" s="85"/>
      <c r="VAC2" s="85"/>
      <c r="VAD2" s="85"/>
      <c r="VAE2" s="85"/>
      <c r="VAF2" s="85"/>
      <c r="VAG2" s="85"/>
      <c r="VAH2" s="85"/>
      <c r="VAI2" s="85"/>
      <c r="VAJ2" s="85"/>
      <c r="VAK2" s="85"/>
      <c r="VAL2" s="85"/>
      <c r="VAM2" s="85"/>
      <c r="VAN2" s="85"/>
      <c r="VAO2" s="85"/>
      <c r="VAP2" s="85"/>
      <c r="VAQ2" s="85"/>
      <c r="VAR2" s="85"/>
      <c r="VAS2" s="85"/>
      <c r="VAT2" s="85"/>
      <c r="VAU2" s="85"/>
      <c r="VAV2" s="85"/>
      <c r="VAW2" s="85"/>
      <c r="VAX2" s="85"/>
      <c r="VAY2" s="85"/>
      <c r="VAZ2" s="85"/>
      <c r="VBA2" s="85"/>
      <c r="VBB2" s="85"/>
      <c r="VBC2" s="85"/>
      <c r="VBD2" s="85"/>
      <c r="VBE2" s="85"/>
      <c r="VBF2" s="85"/>
      <c r="VBG2" s="85"/>
      <c r="VBH2" s="85"/>
      <c r="VBI2" s="85"/>
      <c r="VBJ2" s="85"/>
      <c r="VBK2" s="85"/>
      <c r="VBL2" s="85"/>
      <c r="VBM2" s="85"/>
      <c r="VBN2" s="85"/>
      <c r="VBO2" s="85"/>
      <c r="VBP2" s="85"/>
      <c r="VBQ2" s="85"/>
      <c r="VBR2" s="85"/>
      <c r="VBS2" s="85"/>
      <c r="VBT2" s="85"/>
      <c r="VBU2" s="85"/>
      <c r="VBV2" s="85"/>
      <c r="VBW2" s="85"/>
      <c r="VBX2" s="85"/>
      <c r="VBY2" s="85"/>
      <c r="VBZ2" s="85"/>
      <c r="VCA2" s="85"/>
      <c r="VCB2" s="85"/>
      <c r="VCC2" s="85"/>
      <c r="VCD2" s="85"/>
      <c r="VCE2" s="85"/>
      <c r="VCF2" s="85"/>
      <c r="VCG2" s="85"/>
      <c r="VCH2" s="85"/>
      <c r="VCI2" s="85"/>
      <c r="VCJ2" s="85"/>
      <c r="VCK2" s="85"/>
      <c r="VCL2" s="85"/>
      <c r="VCM2" s="85"/>
      <c r="VCN2" s="85"/>
      <c r="VCO2" s="85"/>
      <c r="VCP2" s="85"/>
      <c r="VCQ2" s="85"/>
      <c r="VCR2" s="85"/>
      <c r="VCS2" s="85"/>
      <c r="VCT2" s="85"/>
      <c r="VCU2" s="85"/>
      <c r="VCV2" s="85"/>
      <c r="VCW2" s="85"/>
      <c r="VCX2" s="85"/>
      <c r="VCY2" s="85"/>
      <c r="VCZ2" s="85"/>
      <c r="VDA2" s="85"/>
      <c r="VDB2" s="85"/>
      <c r="VDC2" s="85"/>
      <c r="VDD2" s="85"/>
      <c r="VDE2" s="85"/>
      <c r="VDF2" s="85"/>
      <c r="VDG2" s="85"/>
      <c r="VDH2" s="85"/>
      <c r="VDI2" s="85"/>
      <c r="VDJ2" s="85"/>
      <c r="VDK2" s="85"/>
      <c r="VDL2" s="85"/>
      <c r="VDM2" s="85"/>
      <c r="VDN2" s="85"/>
      <c r="VDO2" s="85"/>
      <c r="VDP2" s="85"/>
      <c r="VDQ2" s="85"/>
      <c r="VDR2" s="85"/>
      <c r="VDS2" s="85"/>
      <c r="VDT2" s="85"/>
      <c r="VDU2" s="85"/>
      <c r="VDV2" s="85"/>
      <c r="VDW2" s="85"/>
      <c r="VDX2" s="85"/>
      <c r="VDY2" s="85"/>
      <c r="VDZ2" s="85"/>
      <c r="VEA2" s="85"/>
      <c r="VEB2" s="85"/>
      <c r="VEC2" s="85"/>
      <c r="VED2" s="85"/>
      <c r="VEE2" s="85"/>
      <c r="VEF2" s="85"/>
      <c r="VEG2" s="85"/>
      <c r="VEH2" s="85"/>
      <c r="VEI2" s="85"/>
      <c r="VEJ2" s="85"/>
      <c r="VEK2" s="85"/>
      <c r="VEL2" s="85"/>
      <c r="VEM2" s="85"/>
      <c r="VEN2" s="85"/>
      <c r="VEO2" s="85"/>
      <c r="VEP2" s="85"/>
      <c r="VEQ2" s="85"/>
      <c r="VER2" s="85"/>
      <c r="VES2" s="85"/>
      <c r="VET2" s="85"/>
      <c r="VEU2" s="85"/>
      <c r="VEV2" s="85"/>
      <c r="VEW2" s="85"/>
      <c r="VEX2" s="85"/>
      <c r="VEY2" s="85"/>
      <c r="VEZ2" s="85"/>
      <c r="VFA2" s="85"/>
      <c r="VFB2" s="85"/>
      <c r="VFC2" s="85"/>
      <c r="VFD2" s="85"/>
      <c r="VFE2" s="85"/>
      <c r="VFF2" s="85"/>
      <c r="VFG2" s="85"/>
      <c r="VFH2" s="85"/>
      <c r="VFI2" s="85"/>
      <c r="VFJ2" s="85"/>
      <c r="VFK2" s="85"/>
      <c r="VFL2" s="85"/>
      <c r="VFM2" s="85"/>
      <c r="VFN2" s="85"/>
      <c r="VFO2" s="85"/>
      <c r="VFP2" s="85"/>
      <c r="VFQ2" s="85"/>
      <c r="VFR2" s="85"/>
      <c r="VFS2" s="85"/>
      <c r="VFT2" s="85"/>
      <c r="VFU2" s="85"/>
      <c r="VFV2" s="85"/>
      <c r="VFW2" s="85"/>
      <c r="VFX2" s="85"/>
      <c r="VFY2" s="85"/>
      <c r="VFZ2" s="85"/>
      <c r="VGA2" s="85"/>
      <c r="VGB2" s="85"/>
      <c r="VGC2" s="85"/>
      <c r="VGD2" s="85"/>
      <c r="VGE2" s="85"/>
      <c r="VGF2" s="85"/>
      <c r="VGG2" s="85"/>
      <c r="VGH2" s="85"/>
      <c r="VGI2" s="85"/>
      <c r="VGJ2" s="85"/>
      <c r="VGK2" s="85"/>
      <c r="VGL2" s="85"/>
      <c r="VGM2" s="85"/>
      <c r="VGN2" s="85"/>
      <c r="VGO2" s="85"/>
      <c r="VGP2" s="85"/>
      <c r="VGQ2" s="85"/>
      <c r="VGR2" s="85"/>
      <c r="VGS2" s="85"/>
      <c r="VGT2" s="85"/>
      <c r="VGU2" s="85"/>
      <c r="VGV2" s="85"/>
      <c r="VGW2" s="85"/>
      <c r="VGX2" s="85"/>
      <c r="VGY2" s="85"/>
      <c r="VGZ2" s="85"/>
      <c r="VHA2" s="85"/>
      <c r="VHB2" s="85"/>
      <c r="VHC2" s="85"/>
      <c r="VHD2" s="85"/>
      <c r="VHE2" s="85"/>
      <c r="VHF2" s="85"/>
      <c r="VHG2" s="85"/>
      <c r="VHH2" s="85"/>
      <c r="VHI2" s="85"/>
      <c r="VHJ2" s="85"/>
      <c r="VHK2" s="85"/>
      <c r="VHL2" s="85"/>
      <c r="VHM2" s="85"/>
      <c r="VHN2" s="85"/>
      <c r="VHO2" s="85"/>
      <c r="VHP2" s="85"/>
      <c r="VHQ2" s="85"/>
      <c r="VHR2" s="85"/>
      <c r="VHS2" s="85"/>
      <c r="VHT2" s="85"/>
      <c r="VHU2" s="85"/>
      <c r="VHV2" s="85"/>
      <c r="VHW2" s="85"/>
      <c r="VHX2" s="85"/>
      <c r="VHY2" s="85"/>
      <c r="VHZ2" s="85"/>
      <c r="VIA2" s="85"/>
      <c r="VIB2" s="85"/>
      <c r="VIC2" s="85"/>
      <c r="VID2" s="85"/>
      <c r="VIE2" s="85"/>
      <c r="VIF2" s="85"/>
      <c r="VIG2" s="85"/>
      <c r="VIH2" s="85"/>
      <c r="VII2" s="85"/>
      <c r="VIJ2" s="85"/>
      <c r="VIK2" s="85"/>
      <c r="VIL2" s="85"/>
      <c r="VIM2" s="85"/>
      <c r="VIN2" s="85"/>
      <c r="VIO2" s="85"/>
      <c r="VIP2" s="85"/>
      <c r="VIQ2" s="85"/>
      <c r="VIR2" s="85"/>
      <c r="VIS2" s="85"/>
      <c r="VIT2" s="85"/>
      <c r="VIU2" s="85"/>
      <c r="VIV2" s="85"/>
      <c r="VIW2" s="85"/>
      <c r="VIX2" s="85"/>
      <c r="VIY2" s="85"/>
      <c r="VIZ2" s="85"/>
      <c r="VJA2" s="85"/>
      <c r="VJB2" s="85"/>
      <c r="VJC2" s="85"/>
      <c r="VJD2" s="85"/>
      <c r="VJE2" s="85"/>
      <c r="VJF2" s="85"/>
      <c r="VJG2" s="85"/>
      <c r="VJH2" s="85"/>
      <c r="VJI2" s="85"/>
      <c r="VJJ2" s="85"/>
      <c r="VJK2" s="85"/>
      <c r="VJL2" s="85"/>
      <c r="VJM2" s="85"/>
      <c r="VJN2" s="85"/>
      <c r="VJO2" s="85"/>
      <c r="VJP2" s="85"/>
      <c r="VJQ2" s="85"/>
      <c r="VJR2" s="85"/>
      <c r="VJS2" s="85"/>
      <c r="VJT2" s="85"/>
      <c r="VJU2" s="85"/>
      <c r="VJV2" s="85"/>
      <c r="VJW2" s="85"/>
      <c r="VJX2" s="85"/>
      <c r="VJY2" s="85"/>
      <c r="VJZ2" s="85"/>
      <c r="VKA2" s="85"/>
      <c r="VKB2" s="85"/>
      <c r="VKC2" s="85"/>
      <c r="VKD2" s="85"/>
      <c r="VKE2" s="85"/>
      <c r="VKF2" s="85"/>
      <c r="VKG2" s="85"/>
      <c r="VKH2" s="85"/>
      <c r="VKI2" s="85"/>
      <c r="VKJ2" s="85"/>
      <c r="VKK2" s="85"/>
      <c r="VKL2" s="85"/>
      <c r="VKM2" s="85"/>
      <c r="VKN2" s="85"/>
      <c r="VKO2" s="85"/>
      <c r="VKP2" s="85"/>
      <c r="VKQ2" s="85"/>
      <c r="VKR2" s="85"/>
      <c r="VKS2" s="85"/>
      <c r="VKT2" s="85"/>
      <c r="VKU2" s="85"/>
      <c r="VKV2" s="85"/>
      <c r="VKW2" s="85"/>
      <c r="VKX2" s="85"/>
      <c r="VKY2" s="85"/>
      <c r="VKZ2" s="85"/>
      <c r="VLA2" s="85"/>
      <c r="VLB2" s="85"/>
      <c r="VLC2" s="85"/>
      <c r="VLD2" s="85"/>
      <c r="VLE2" s="85"/>
      <c r="VLF2" s="85"/>
      <c r="VLG2" s="85"/>
      <c r="VLH2" s="85"/>
      <c r="VLI2" s="85"/>
      <c r="VLJ2" s="85"/>
      <c r="VLK2" s="85"/>
      <c r="VLL2" s="85"/>
      <c r="VLM2" s="85"/>
      <c r="VLN2" s="85"/>
      <c r="VLO2" s="85"/>
      <c r="VLP2" s="85"/>
      <c r="VLQ2" s="85"/>
      <c r="VLR2" s="85"/>
      <c r="VLS2" s="85"/>
      <c r="VLT2" s="85"/>
      <c r="VLU2" s="85"/>
      <c r="VLV2" s="85"/>
      <c r="VLW2" s="85"/>
      <c r="VLX2" s="85"/>
      <c r="VLY2" s="85"/>
      <c r="VLZ2" s="85"/>
      <c r="VMA2" s="85"/>
      <c r="VMB2" s="85"/>
      <c r="VMC2" s="85"/>
      <c r="VMD2" s="85"/>
      <c r="VME2" s="85"/>
      <c r="VMF2" s="85"/>
      <c r="VMG2" s="85"/>
      <c r="VMH2" s="85"/>
      <c r="VMI2" s="85"/>
      <c r="VMJ2" s="85"/>
      <c r="VMK2" s="85"/>
      <c r="VML2" s="85"/>
      <c r="VMM2" s="85"/>
      <c r="VMN2" s="85"/>
      <c r="VMO2" s="85"/>
      <c r="VMP2" s="85"/>
      <c r="VMQ2" s="85"/>
      <c r="VMR2" s="85"/>
      <c r="VMS2" s="85"/>
      <c r="VMT2" s="85"/>
      <c r="VMU2" s="85"/>
      <c r="VMV2" s="85"/>
      <c r="VMW2" s="85"/>
      <c r="VMX2" s="85"/>
      <c r="VMY2" s="85"/>
      <c r="VMZ2" s="85"/>
      <c r="VNA2" s="85"/>
      <c r="VNB2" s="85"/>
      <c r="VNC2" s="85"/>
      <c r="VND2" s="85"/>
      <c r="VNE2" s="85"/>
      <c r="VNF2" s="85"/>
      <c r="VNG2" s="85"/>
      <c r="VNH2" s="85"/>
      <c r="VNI2" s="85"/>
      <c r="VNJ2" s="85"/>
      <c r="VNK2" s="85"/>
      <c r="VNL2" s="85"/>
      <c r="VNM2" s="85"/>
      <c r="VNN2" s="85"/>
      <c r="VNO2" s="85"/>
      <c r="VNP2" s="85"/>
      <c r="VNQ2" s="85"/>
      <c r="VNR2" s="85"/>
      <c r="VNS2" s="85"/>
      <c r="VNT2" s="85"/>
      <c r="VNU2" s="85"/>
      <c r="VNV2" s="85"/>
      <c r="VNW2" s="85"/>
      <c r="VNX2" s="85"/>
      <c r="VNY2" s="85"/>
      <c r="VNZ2" s="85"/>
      <c r="VOA2" s="85"/>
      <c r="VOB2" s="85"/>
      <c r="VOC2" s="85"/>
      <c r="VOD2" s="85"/>
      <c r="VOE2" s="85"/>
      <c r="VOF2" s="85"/>
      <c r="VOG2" s="85"/>
      <c r="VOH2" s="85"/>
      <c r="VOI2" s="85"/>
      <c r="VOJ2" s="85"/>
      <c r="VOK2" s="85"/>
      <c r="VOL2" s="85"/>
      <c r="VOM2" s="85"/>
      <c r="VON2" s="85"/>
      <c r="VOO2" s="85"/>
      <c r="VOP2" s="85"/>
      <c r="VOQ2" s="85"/>
      <c r="VOR2" s="85"/>
      <c r="VOS2" s="85"/>
      <c r="VOT2" s="85"/>
      <c r="VOU2" s="85"/>
      <c r="VOV2" s="85"/>
      <c r="VOW2" s="85"/>
      <c r="VOX2" s="85"/>
      <c r="VOY2" s="85"/>
      <c r="VOZ2" s="85"/>
      <c r="VPA2" s="85"/>
      <c r="VPB2" s="85"/>
      <c r="VPC2" s="85"/>
      <c r="VPD2" s="85"/>
      <c r="VPE2" s="85"/>
      <c r="VPF2" s="85"/>
      <c r="VPG2" s="85"/>
      <c r="VPH2" s="85"/>
      <c r="VPI2" s="85"/>
      <c r="VPJ2" s="85"/>
      <c r="VPK2" s="85"/>
      <c r="VPL2" s="85"/>
      <c r="VPM2" s="85"/>
      <c r="VPN2" s="85"/>
      <c r="VPO2" s="85"/>
      <c r="VPP2" s="85"/>
      <c r="VPQ2" s="85"/>
      <c r="VPR2" s="85"/>
      <c r="VPS2" s="85"/>
      <c r="VPT2" s="85"/>
      <c r="VPU2" s="85"/>
      <c r="VPV2" s="85"/>
      <c r="VPW2" s="85"/>
      <c r="VPX2" s="85"/>
      <c r="VPY2" s="85"/>
      <c r="VPZ2" s="85"/>
      <c r="VQA2" s="85"/>
      <c r="VQB2" s="85"/>
      <c r="VQC2" s="85"/>
      <c r="VQD2" s="85"/>
      <c r="VQE2" s="85"/>
      <c r="VQF2" s="85"/>
      <c r="VQG2" s="85"/>
      <c r="VQH2" s="85"/>
      <c r="VQI2" s="85"/>
      <c r="VQJ2" s="85"/>
      <c r="VQK2" s="85"/>
      <c r="VQL2" s="85"/>
      <c r="VQM2" s="85"/>
      <c r="VQN2" s="85"/>
      <c r="VQO2" s="85"/>
      <c r="VQP2" s="85"/>
      <c r="VQQ2" s="85"/>
      <c r="VQR2" s="85"/>
      <c r="VQS2" s="85"/>
      <c r="VQT2" s="85"/>
      <c r="VQU2" s="85"/>
      <c r="VQV2" s="85"/>
      <c r="VQW2" s="85"/>
      <c r="VQX2" s="85"/>
      <c r="VQY2" s="85"/>
      <c r="VQZ2" s="85"/>
      <c r="VRA2" s="85"/>
      <c r="VRB2" s="85"/>
      <c r="VRC2" s="85"/>
      <c r="VRD2" s="85"/>
      <c r="VRE2" s="85"/>
      <c r="VRF2" s="85"/>
      <c r="VRG2" s="85"/>
      <c r="VRH2" s="85"/>
      <c r="VRI2" s="85"/>
      <c r="VRJ2" s="85"/>
      <c r="VRK2" s="85"/>
      <c r="VRL2" s="85"/>
      <c r="VRM2" s="85"/>
      <c r="VRN2" s="85"/>
      <c r="VRO2" s="85"/>
      <c r="VRP2" s="85"/>
      <c r="VRQ2" s="85"/>
      <c r="VRR2" s="85"/>
      <c r="VRS2" s="85"/>
      <c r="VRT2" s="85"/>
      <c r="VRU2" s="85"/>
      <c r="VRV2" s="85"/>
      <c r="VRW2" s="85"/>
      <c r="VRX2" s="85"/>
      <c r="VRY2" s="85"/>
      <c r="VRZ2" s="85"/>
      <c r="VSA2" s="85"/>
      <c r="VSB2" s="85"/>
      <c r="VSC2" s="85"/>
      <c r="VSD2" s="85"/>
      <c r="VSE2" s="85"/>
      <c r="VSF2" s="85"/>
      <c r="VSG2" s="85"/>
      <c r="VSH2" s="85"/>
      <c r="VSI2" s="85"/>
      <c r="VSJ2" s="85"/>
      <c r="VSK2" s="85"/>
      <c r="VSL2" s="85"/>
      <c r="VSM2" s="85"/>
      <c r="VSN2" s="85"/>
      <c r="VSO2" s="85"/>
      <c r="VSP2" s="85"/>
      <c r="VSQ2" s="85"/>
      <c r="VSR2" s="85"/>
      <c r="VSS2" s="85"/>
      <c r="VST2" s="85"/>
      <c r="VSU2" s="85"/>
      <c r="VSV2" s="85"/>
      <c r="VSW2" s="85"/>
      <c r="VSX2" s="85"/>
      <c r="VSY2" s="85"/>
      <c r="VSZ2" s="85"/>
      <c r="VTA2" s="85"/>
      <c r="VTB2" s="85"/>
      <c r="VTC2" s="85"/>
      <c r="VTD2" s="85"/>
      <c r="VTE2" s="85"/>
      <c r="VTF2" s="85"/>
      <c r="VTG2" s="85"/>
      <c r="VTH2" s="85"/>
      <c r="VTI2" s="85"/>
      <c r="VTJ2" s="85"/>
      <c r="VTK2" s="85"/>
      <c r="VTL2" s="85"/>
      <c r="VTM2" s="85"/>
      <c r="VTN2" s="85"/>
      <c r="VTO2" s="85"/>
      <c r="VTP2" s="85"/>
      <c r="VTQ2" s="85"/>
      <c r="VTR2" s="85"/>
      <c r="VTS2" s="85"/>
      <c r="VTT2" s="85"/>
      <c r="VTU2" s="85"/>
      <c r="VTV2" s="85"/>
      <c r="VTW2" s="85"/>
      <c r="VTX2" s="85"/>
      <c r="VTY2" s="85"/>
      <c r="VTZ2" s="85"/>
      <c r="VUA2" s="85"/>
      <c r="VUB2" s="85"/>
      <c r="VUC2" s="85"/>
      <c r="VUD2" s="85"/>
      <c r="VUE2" s="85"/>
      <c r="VUF2" s="85"/>
      <c r="VUG2" s="85"/>
      <c r="VUH2" s="85"/>
      <c r="VUI2" s="85"/>
      <c r="VUJ2" s="85"/>
      <c r="VUK2" s="85"/>
      <c r="VUL2" s="85"/>
      <c r="VUM2" s="85"/>
      <c r="VUN2" s="85"/>
      <c r="VUO2" s="85"/>
      <c r="VUP2" s="85"/>
      <c r="VUQ2" s="85"/>
      <c r="VUR2" s="85"/>
      <c r="VUS2" s="85"/>
      <c r="VUT2" s="85"/>
      <c r="VUU2" s="85"/>
      <c r="VUV2" s="85"/>
      <c r="VUW2" s="85"/>
      <c r="VUX2" s="85"/>
      <c r="VUY2" s="85"/>
      <c r="VUZ2" s="85"/>
      <c r="VVA2" s="85"/>
      <c r="VVB2" s="85"/>
      <c r="VVC2" s="85"/>
      <c r="VVD2" s="85"/>
      <c r="VVE2" s="85"/>
      <c r="VVF2" s="85"/>
      <c r="VVG2" s="85"/>
      <c r="VVH2" s="85"/>
      <c r="VVI2" s="85"/>
      <c r="VVJ2" s="85"/>
      <c r="VVK2" s="85"/>
      <c r="VVL2" s="85"/>
      <c r="VVM2" s="85"/>
      <c r="VVN2" s="85"/>
      <c r="VVO2" s="85"/>
      <c r="VVP2" s="85"/>
      <c r="VVQ2" s="85"/>
      <c r="VVR2" s="85"/>
      <c r="VVS2" s="85"/>
      <c r="VVT2" s="85"/>
      <c r="VVU2" s="85"/>
      <c r="VVV2" s="85"/>
      <c r="VVW2" s="85"/>
      <c r="VVX2" s="85"/>
      <c r="VVY2" s="85"/>
      <c r="VVZ2" s="85"/>
      <c r="VWA2" s="85"/>
      <c r="VWB2" s="85"/>
      <c r="VWC2" s="85"/>
      <c r="VWD2" s="85"/>
      <c r="VWE2" s="85"/>
      <c r="VWF2" s="85"/>
      <c r="VWG2" s="85"/>
      <c r="VWH2" s="85"/>
      <c r="VWI2" s="85"/>
      <c r="VWJ2" s="85"/>
      <c r="VWK2" s="85"/>
      <c r="VWL2" s="85"/>
      <c r="VWM2" s="85"/>
      <c r="VWN2" s="85"/>
      <c r="VWO2" s="85"/>
      <c r="VWP2" s="85"/>
      <c r="VWQ2" s="85"/>
      <c r="VWR2" s="85"/>
      <c r="VWS2" s="85"/>
      <c r="VWT2" s="85"/>
      <c r="VWU2" s="85"/>
      <c r="VWV2" s="85"/>
      <c r="VWW2" s="85"/>
      <c r="VWX2" s="85"/>
      <c r="VWY2" s="85"/>
      <c r="VWZ2" s="85"/>
      <c r="VXA2" s="85"/>
      <c r="VXB2" s="85"/>
      <c r="VXC2" s="85"/>
      <c r="VXD2" s="85"/>
      <c r="VXE2" s="85"/>
      <c r="VXF2" s="85"/>
      <c r="VXG2" s="85"/>
      <c r="VXH2" s="85"/>
      <c r="VXI2" s="85"/>
      <c r="VXJ2" s="85"/>
      <c r="VXK2" s="85"/>
      <c r="VXL2" s="85"/>
      <c r="VXM2" s="85"/>
      <c r="VXN2" s="85"/>
      <c r="VXO2" s="85"/>
      <c r="VXP2" s="85"/>
      <c r="VXQ2" s="85"/>
      <c r="VXR2" s="85"/>
      <c r="VXS2" s="85"/>
      <c r="VXT2" s="85"/>
      <c r="VXU2" s="85"/>
      <c r="VXV2" s="85"/>
      <c r="VXW2" s="85"/>
      <c r="VXX2" s="85"/>
      <c r="VXY2" s="85"/>
      <c r="VXZ2" s="85"/>
      <c r="VYA2" s="85"/>
      <c r="VYB2" s="85"/>
      <c r="VYC2" s="85"/>
      <c r="VYD2" s="85"/>
      <c r="VYE2" s="85"/>
      <c r="VYF2" s="85"/>
      <c r="VYG2" s="85"/>
      <c r="VYH2" s="85"/>
      <c r="VYI2" s="85"/>
      <c r="VYJ2" s="85"/>
      <c r="VYK2" s="85"/>
      <c r="VYL2" s="85"/>
      <c r="VYM2" s="85"/>
      <c r="VYN2" s="85"/>
      <c r="VYO2" s="85"/>
      <c r="VYP2" s="85"/>
      <c r="VYQ2" s="85"/>
      <c r="VYR2" s="85"/>
      <c r="VYS2" s="85"/>
      <c r="VYT2" s="85"/>
      <c r="VYU2" s="85"/>
      <c r="VYV2" s="85"/>
      <c r="VYW2" s="85"/>
      <c r="VYX2" s="85"/>
      <c r="VYY2" s="85"/>
      <c r="VYZ2" s="85"/>
      <c r="VZA2" s="85"/>
      <c r="VZB2" s="85"/>
      <c r="VZC2" s="85"/>
      <c r="VZD2" s="85"/>
      <c r="VZE2" s="85"/>
      <c r="VZF2" s="85"/>
      <c r="VZG2" s="85"/>
      <c r="VZH2" s="85"/>
      <c r="VZI2" s="85"/>
      <c r="VZJ2" s="85"/>
      <c r="VZK2" s="85"/>
      <c r="VZL2" s="85"/>
      <c r="VZM2" s="85"/>
      <c r="VZN2" s="85"/>
      <c r="VZO2" s="85"/>
      <c r="VZP2" s="85"/>
      <c r="VZQ2" s="85"/>
      <c r="VZR2" s="85"/>
      <c r="VZS2" s="85"/>
      <c r="VZT2" s="85"/>
      <c r="VZU2" s="85"/>
      <c r="VZV2" s="85"/>
      <c r="VZW2" s="85"/>
      <c r="VZX2" s="85"/>
      <c r="VZY2" s="85"/>
      <c r="VZZ2" s="85"/>
      <c r="WAA2" s="85"/>
      <c r="WAB2" s="85"/>
      <c r="WAC2" s="85"/>
      <c r="WAD2" s="85"/>
      <c r="WAE2" s="85"/>
      <c r="WAF2" s="85"/>
      <c r="WAG2" s="85"/>
      <c r="WAH2" s="85"/>
      <c r="WAI2" s="85"/>
      <c r="WAJ2" s="85"/>
      <c r="WAK2" s="85"/>
      <c r="WAL2" s="85"/>
      <c r="WAM2" s="85"/>
      <c r="WAN2" s="85"/>
      <c r="WAO2" s="85"/>
      <c r="WAP2" s="85"/>
      <c r="WAQ2" s="85"/>
      <c r="WAR2" s="85"/>
      <c r="WAS2" s="85"/>
      <c r="WAT2" s="85"/>
      <c r="WAU2" s="85"/>
      <c r="WAV2" s="85"/>
      <c r="WAW2" s="85"/>
      <c r="WAX2" s="85"/>
      <c r="WAY2" s="85"/>
      <c r="WAZ2" s="85"/>
      <c r="WBA2" s="85"/>
      <c r="WBB2" s="85"/>
      <c r="WBC2" s="85"/>
      <c r="WBD2" s="85"/>
      <c r="WBE2" s="85"/>
      <c r="WBF2" s="85"/>
      <c r="WBG2" s="85"/>
      <c r="WBH2" s="85"/>
      <c r="WBI2" s="85"/>
      <c r="WBJ2" s="85"/>
      <c r="WBK2" s="85"/>
      <c r="WBL2" s="85"/>
      <c r="WBM2" s="85"/>
      <c r="WBN2" s="85"/>
      <c r="WBO2" s="85"/>
      <c r="WBP2" s="85"/>
      <c r="WBQ2" s="85"/>
      <c r="WBR2" s="85"/>
      <c r="WBS2" s="85"/>
      <c r="WBT2" s="85"/>
      <c r="WBU2" s="85"/>
      <c r="WBV2" s="85"/>
      <c r="WBW2" s="85"/>
      <c r="WBX2" s="85"/>
      <c r="WBY2" s="85"/>
      <c r="WBZ2" s="85"/>
      <c r="WCA2" s="85"/>
      <c r="WCB2" s="85"/>
      <c r="WCC2" s="85"/>
      <c r="WCD2" s="85"/>
      <c r="WCE2" s="85"/>
      <c r="WCF2" s="85"/>
      <c r="WCG2" s="85"/>
      <c r="WCH2" s="85"/>
      <c r="WCI2" s="85"/>
      <c r="WCJ2" s="85"/>
      <c r="WCK2" s="85"/>
      <c r="WCL2" s="85"/>
      <c r="WCM2" s="85"/>
      <c r="WCN2" s="85"/>
      <c r="WCO2" s="85"/>
      <c r="WCP2" s="85"/>
      <c r="WCQ2" s="85"/>
      <c r="WCR2" s="85"/>
      <c r="WCS2" s="85"/>
      <c r="WCT2" s="85"/>
      <c r="WCU2" s="85"/>
      <c r="WCV2" s="85"/>
      <c r="WCW2" s="85"/>
      <c r="WCX2" s="85"/>
      <c r="WCY2" s="85"/>
      <c r="WCZ2" s="85"/>
      <c r="WDA2" s="85"/>
      <c r="WDB2" s="85"/>
      <c r="WDC2" s="85"/>
      <c r="WDD2" s="85"/>
      <c r="WDE2" s="85"/>
      <c r="WDF2" s="85"/>
      <c r="WDG2" s="85"/>
      <c r="WDH2" s="85"/>
      <c r="WDI2" s="85"/>
      <c r="WDJ2" s="85"/>
      <c r="WDK2" s="85"/>
      <c r="WDL2" s="85"/>
      <c r="WDM2" s="85"/>
      <c r="WDN2" s="85"/>
      <c r="WDO2" s="85"/>
      <c r="WDP2" s="85"/>
      <c r="WDQ2" s="85"/>
      <c r="WDR2" s="85"/>
      <c r="WDS2" s="85"/>
      <c r="WDT2" s="85"/>
      <c r="WDU2" s="85"/>
      <c r="WDV2" s="85"/>
      <c r="WDW2" s="85"/>
      <c r="WDX2" s="85"/>
      <c r="WDY2" s="85"/>
      <c r="WDZ2" s="85"/>
      <c r="WEA2" s="85"/>
      <c r="WEB2" s="85"/>
      <c r="WEC2" s="85"/>
      <c r="WED2" s="85"/>
      <c r="WEE2" s="85"/>
      <c r="WEF2" s="85"/>
      <c r="WEG2" s="85"/>
      <c r="WEH2" s="85"/>
      <c r="WEI2" s="85"/>
      <c r="WEJ2" s="85"/>
      <c r="WEK2" s="85"/>
      <c r="WEL2" s="85"/>
      <c r="WEM2" s="85"/>
      <c r="WEN2" s="85"/>
      <c r="WEO2" s="85"/>
      <c r="WEP2" s="85"/>
      <c r="WEQ2" s="85"/>
      <c r="WER2" s="85"/>
      <c r="WES2" s="85"/>
      <c r="WET2" s="85"/>
      <c r="WEU2" s="85"/>
      <c r="WEV2" s="85"/>
      <c r="WEW2" s="85"/>
      <c r="WEX2" s="85"/>
      <c r="WEY2" s="85"/>
      <c r="WEZ2" s="85"/>
      <c r="WFA2" s="85"/>
      <c r="WFB2" s="85"/>
      <c r="WFC2" s="85"/>
      <c r="WFD2" s="85"/>
      <c r="WFE2" s="85"/>
      <c r="WFF2" s="85"/>
      <c r="WFG2" s="85"/>
      <c r="WFH2" s="85"/>
      <c r="WFI2" s="85"/>
      <c r="WFJ2" s="85"/>
      <c r="WFK2" s="85"/>
      <c r="WFL2" s="85"/>
      <c r="WFM2" s="85"/>
      <c r="WFN2" s="85"/>
      <c r="WFO2" s="85"/>
      <c r="WFP2" s="85"/>
      <c r="WFQ2" s="85"/>
      <c r="WFR2" s="85"/>
      <c r="WFS2" s="85"/>
      <c r="WFT2" s="85"/>
      <c r="WFU2" s="85"/>
      <c r="WFV2" s="85"/>
      <c r="WFW2" s="85"/>
      <c r="WFX2" s="85"/>
      <c r="WFY2" s="85"/>
      <c r="WFZ2" s="85"/>
      <c r="WGA2" s="85"/>
      <c r="WGB2" s="85"/>
      <c r="WGC2" s="85"/>
      <c r="WGD2" s="85"/>
      <c r="WGE2" s="85"/>
      <c r="WGF2" s="85"/>
      <c r="WGG2" s="85"/>
      <c r="WGH2" s="85"/>
      <c r="WGI2" s="85"/>
      <c r="WGJ2" s="85"/>
      <c r="WGK2" s="85"/>
      <c r="WGL2" s="85"/>
      <c r="WGM2" s="85"/>
      <c r="WGN2" s="85"/>
      <c r="WGO2" s="85"/>
      <c r="WGP2" s="85"/>
      <c r="WGQ2" s="85"/>
      <c r="WGR2" s="85"/>
      <c r="WGS2" s="85"/>
      <c r="WGT2" s="85"/>
      <c r="WGU2" s="85"/>
      <c r="WGV2" s="85"/>
      <c r="WGW2" s="85"/>
      <c r="WGX2" s="85"/>
      <c r="WGY2" s="85"/>
      <c r="WGZ2" s="85"/>
      <c r="WHA2" s="85"/>
      <c r="WHB2" s="85"/>
      <c r="WHC2" s="85"/>
      <c r="WHD2" s="85"/>
      <c r="WHE2" s="85"/>
      <c r="WHF2" s="85"/>
      <c r="WHG2" s="85"/>
      <c r="WHH2" s="85"/>
      <c r="WHI2" s="85"/>
      <c r="WHJ2" s="85"/>
      <c r="WHK2" s="85"/>
      <c r="WHL2" s="85"/>
      <c r="WHM2" s="85"/>
      <c r="WHN2" s="85"/>
      <c r="WHO2" s="85"/>
      <c r="WHP2" s="85"/>
      <c r="WHQ2" s="85"/>
      <c r="WHR2" s="85"/>
      <c r="WHS2" s="85"/>
      <c r="WHT2" s="85"/>
      <c r="WHU2" s="85"/>
      <c r="WHV2" s="85"/>
      <c r="WHW2" s="85"/>
      <c r="WHX2" s="85"/>
      <c r="WHY2" s="85"/>
      <c r="WHZ2" s="85"/>
      <c r="WIA2" s="85"/>
      <c r="WIB2" s="85"/>
      <c r="WIC2" s="85"/>
      <c r="WID2" s="85"/>
      <c r="WIE2" s="85"/>
      <c r="WIF2" s="85"/>
      <c r="WIG2" s="85"/>
      <c r="WIH2" s="85"/>
      <c r="WII2" s="85"/>
      <c r="WIJ2" s="85"/>
      <c r="WIK2" s="85"/>
      <c r="WIL2" s="85"/>
      <c r="WIM2" s="85"/>
      <c r="WIN2" s="85"/>
      <c r="WIO2" s="85"/>
      <c r="WIP2" s="85"/>
      <c r="WIQ2" s="85"/>
      <c r="WIR2" s="85"/>
      <c r="WIS2" s="85"/>
      <c r="WIT2" s="85"/>
      <c r="WIU2" s="85"/>
      <c r="WIV2" s="85"/>
      <c r="WIW2" s="85"/>
      <c r="WIX2" s="85"/>
      <c r="WIY2" s="85"/>
      <c r="WIZ2" s="85"/>
      <c r="WJA2" s="85"/>
      <c r="WJB2" s="85"/>
      <c r="WJC2" s="85"/>
      <c r="WJD2" s="85"/>
      <c r="WJE2" s="85"/>
      <c r="WJF2" s="85"/>
      <c r="WJG2" s="85"/>
      <c r="WJH2" s="85"/>
      <c r="WJI2" s="85"/>
      <c r="WJJ2" s="85"/>
      <c r="WJK2" s="85"/>
      <c r="WJL2" s="85"/>
      <c r="WJM2" s="85"/>
      <c r="WJN2" s="85"/>
      <c r="WJO2" s="85"/>
      <c r="WJP2" s="85"/>
      <c r="WJQ2" s="85"/>
      <c r="WJR2" s="85"/>
      <c r="WJS2" s="85"/>
      <c r="WJT2" s="85"/>
      <c r="WJU2" s="85"/>
      <c r="WJV2" s="85"/>
      <c r="WJW2" s="85"/>
      <c r="WJX2" s="85"/>
      <c r="WJY2" s="85"/>
      <c r="WJZ2" s="85"/>
      <c r="WKA2" s="85"/>
      <c r="WKB2" s="85"/>
      <c r="WKC2" s="85"/>
      <c r="WKD2" s="85"/>
      <c r="WKE2" s="85"/>
      <c r="WKF2" s="85"/>
      <c r="WKG2" s="85"/>
      <c r="WKH2" s="85"/>
      <c r="WKI2" s="85"/>
      <c r="WKJ2" s="85"/>
      <c r="WKK2" s="85"/>
      <c r="WKL2" s="85"/>
      <c r="WKM2" s="85"/>
      <c r="WKN2" s="85"/>
      <c r="WKO2" s="85"/>
      <c r="WKP2" s="85"/>
      <c r="WKQ2" s="85"/>
      <c r="WKR2" s="85"/>
      <c r="WKS2" s="85"/>
      <c r="WKT2" s="85"/>
      <c r="WKU2" s="85"/>
      <c r="WKV2" s="85"/>
      <c r="WKW2" s="85"/>
      <c r="WKX2" s="85"/>
      <c r="WKY2" s="85"/>
      <c r="WKZ2" s="85"/>
      <c r="WLA2" s="85"/>
      <c r="WLB2" s="85"/>
      <c r="WLC2" s="85"/>
      <c r="WLD2" s="85"/>
      <c r="WLE2" s="85"/>
      <c r="WLF2" s="85"/>
      <c r="WLG2" s="85"/>
      <c r="WLH2" s="85"/>
      <c r="WLI2" s="85"/>
      <c r="WLJ2" s="85"/>
      <c r="WLK2" s="85"/>
      <c r="WLL2" s="85"/>
      <c r="WLM2" s="85"/>
      <c r="WLN2" s="85"/>
      <c r="WLO2" s="85"/>
      <c r="WLP2" s="85"/>
      <c r="WLQ2" s="85"/>
      <c r="WLR2" s="85"/>
      <c r="WLS2" s="85"/>
      <c r="WLT2" s="85"/>
      <c r="WLU2" s="85"/>
      <c r="WLV2" s="85"/>
      <c r="WLW2" s="85"/>
      <c r="WLX2" s="85"/>
      <c r="WLY2" s="85"/>
      <c r="WLZ2" s="85"/>
      <c r="WMA2" s="85"/>
      <c r="WMB2" s="85"/>
      <c r="WMC2" s="85"/>
      <c r="WMD2" s="85"/>
      <c r="WME2" s="85"/>
      <c r="WMF2" s="85"/>
      <c r="WMG2" s="85"/>
      <c r="WMH2" s="85"/>
      <c r="WMI2" s="85"/>
      <c r="WMJ2" s="85"/>
      <c r="WMK2" s="85"/>
      <c r="WML2" s="85"/>
      <c r="WMM2" s="85"/>
      <c r="WMN2" s="85"/>
      <c r="WMO2" s="85"/>
      <c r="WMP2" s="85"/>
      <c r="WMQ2" s="85"/>
      <c r="WMR2" s="85"/>
      <c r="WMS2" s="85"/>
      <c r="WMT2" s="85"/>
      <c r="WMU2" s="85"/>
      <c r="WMV2" s="85"/>
      <c r="WMW2" s="85"/>
      <c r="WMX2" s="85"/>
      <c r="WMY2" s="85"/>
      <c r="WMZ2" s="85"/>
      <c r="WNA2" s="85"/>
      <c r="WNB2" s="85"/>
      <c r="WNC2" s="85"/>
      <c r="WND2" s="85"/>
      <c r="WNE2" s="85"/>
      <c r="WNF2" s="85"/>
      <c r="WNG2" s="85"/>
      <c r="WNH2" s="85"/>
      <c r="WNI2" s="85"/>
      <c r="WNJ2" s="85"/>
      <c r="WNK2" s="85"/>
      <c r="WNL2" s="85"/>
      <c r="WNM2" s="85"/>
      <c r="WNN2" s="85"/>
      <c r="WNO2" s="85"/>
      <c r="WNP2" s="85"/>
      <c r="WNQ2" s="85"/>
      <c r="WNR2" s="85"/>
      <c r="WNS2" s="85"/>
      <c r="WNT2" s="85"/>
      <c r="WNU2" s="85"/>
      <c r="WNV2" s="85"/>
      <c r="WNW2" s="85"/>
      <c r="WNX2" s="85"/>
      <c r="WNY2" s="85"/>
      <c r="WNZ2" s="85"/>
      <c r="WOA2" s="85"/>
      <c r="WOB2" s="85"/>
      <c r="WOC2" s="85"/>
      <c r="WOD2" s="85"/>
      <c r="WOE2" s="85"/>
      <c r="WOF2" s="85"/>
      <c r="WOG2" s="85"/>
      <c r="WOH2" s="85"/>
      <c r="WOI2" s="85"/>
      <c r="WOJ2" s="85"/>
      <c r="WOK2" s="85"/>
      <c r="WOL2" s="85"/>
      <c r="WOM2" s="85"/>
      <c r="WON2" s="85"/>
      <c r="WOO2" s="85"/>
      <c r="WOP2" s="85"/>
      <c r="WOQ2" s="85"/>
      <c r="WOR2" s="85"/>
      <c r="WOS2" s="85"/>
      <c r="WOT2" s="85"/>
      <c r="WOU2" s="85"/>
      <c r="WOV2" s="85"/>
      <c r="WOW2" s="85"/>
      <c r="WOX2" s="85"/>
      <c r="WOY2" s="85"/>
      <c r="WOZ2" s="85"/>
      <c r="WPA2" s="85"/>
      <c r="WPB2" s="85"/>
      <c r="WPC2" s="85"/>
      <c r="WPD2" s="85"/>
      <c r="WPE2" s="85"/>
      <c r="WPF2" s="85"/>
      <c r="WPG2" s="85"/>
      <c r="WPH2" s="85"/>
      <c r="WPI2" s="85"/>
      <c r="WPJ2" s="85"/>
      <c r="WPK2" s="85"/>
      <c r="WPL2" s="85"/>
      <c r="WPM2" s="85"/>
      <c r="WPN2" s="85"/>
      <c r="WPO2" s="85"/>
      <c r="WPP2" s="85"/>
      <c r="WPQ2" s="85"/>
      <c r="WPR2" s="85"/>
      <c r="WPS2" s="85"/>
      <c r="WPT2" s="85"/>
      <c r="WPU2" s="85"/>
      <c r="WPV2" s="85"/>
      <c r="WPW2" s="85"/>
      <c r="WPX2" s="85"/>
      <c r="WPY2" s="85"/>
      <c r="WPZ2" s="85"/>
      <c r="WQA2" s="85"/>
      <c r="WQB2" s="85"/>
      <c r="WQC2" s="85"/>
      <c r="WQD2" s="85"/>
      <c r="WQE2" s="85"/>
      <c r="WQF2" s="85"/>
      <c r="WQG2" s="85"/>
      <c r="WQH2" s="85"/>
      <c r="WQI2" s="85"/>
      <c r="WQJ2" s="85"/>
      <c r="WQK2" s="85"/>
      <c r="WQL2" s="85"/>
      <c r="WQM2" s="85"/>
      <c r="WQN2" s="85"/>
      <c r="WQO2" s="85"/>
      <c r="WQP2" s="85"/>
      <c r="WQQ2" s="85"/>
      <c r="WQR2" s="85"/>
      <c r="WQS2" s="85"/>
      <c r="WQT2" s="85"/>
      <c r="WQU2" s="85"/>
      <c r="WQV2" s="85"/>
      <c r="WQW2" s="85"/>
      <c r="WQX2" s="85"/>
      <c r="WQY2" s="85"/>
      <c r="WQZ2" s="85"/>
      <c r="WRA2" s="85"/>
      <c r="WRB2" s="85"/>
      <c r="WRC2" s="85"/>
      <c r="WRD2" s="85"/>
      <c r="WRE2" s="85"/>
      <c r="WRF2" s="85"/>
      <c r="WRG2" s="85"/>
      <c r="WRH2" s="85"/>
      <c r="WRI2" s="85"/>
      <c r="WRJ2" s="85"/>
      <c r="WRK2" s="85"/>
      <c r="WRL2" s="85"/>
      <c r="WRM2" s="85"/>
      <c r="WRN2" s="85"/>
      <c r="WRO2" s="85"/>
      <c r="WRP2" s="85"/>
      <c r="WRQ2" s="85"/>
      <c r="WRR2" s="85"/>
      <c r="WRS2" s="85"/>
      <c r="WRT2" s="85"/>
      <c r="WRU2" s="85"/>
      <c r="WRV2" s="85"/>
      <c r="WRW2" s="85"/>
      <c r="WRX2" s="85"/>
      <c r="WRY2" s="85"/>
      <c r="WRZ2" s="85"/>
      <c r="WSA2" s="85"/>
      <c r="WSB2" s="85"/>
      <c r="WSC2" s="85"/>
      <c r="WSD2" s="85"/>
      <c r="WSE2" s="85"/>
      <c r="WSF2" s="85"/>
      <c r="WSG2" s="85"/>
      <c r="WSH2" s="85"/>
      <c r="WSI2" s="85"/>
      <c r="WSJ2" s="85"/>
      <c r="WSK2" s="85"/>
      <c r="WSL2" s="85"/>
      <c r="WSM2" s="85"/>
      <c r="WSN2" s="85"/>
      <c r="WSO2" s="85"/>
      <c r="WSP2" s="85"/>
      <c r="WSQ2" s="85"/>
      <c r="WSR2" s="85"/>
      <c r="WSS2" s="85"/>
      <c r="WST2" s="85"/>
      <c r="WSU2" s="85"/>
      <c r="WSV2" s="85"/>
      <c r="WSW2" s="85"/>
      <c r="WSX2" s="85"/>
      <c r="WSY2" s="85"/>
      <c r="WSZ2" s="85"/>
      <c r="WTA2" s="85"/>
      <c r="WTB2" s="85"/>
      <c r="WTC2" s="85"/>
      <c r="WTD2" s="85"/>
      <c r="WTE2" s="85"/>
      <c r="WTF2" s="85"/>
      <c r="WTG2" s="85"/>
      <c r="WTH2" s="85"/>
      <c r="WTI2" s="85"/>
      <c r="WTJ2" s="85"/>
      <c r="WTK2" s="85"/>
      <c r="WTL2" s="85"/>
      <c r="WTM2" s="85"/>
      <c r="WTN2" s="85"/>
      <c r="WTO2" s="85"/>
      <c r="WTP2" s="85"/>
      <c r="WTQ2" s="85"/>
      <c r="WTR2" s="85"/>
      <c r="WTS2" s="85"/>
      <c r="WTT2" s="85"/>
      <c r="WTU2" s="85"/>
      <c r="WTV2" s="85"/>
      <c r="WTW2" s="85"/>
      <c r="WTX2" s="85"/>
      <c r="WTY2" s="85"/>
      <c r="WTZ2" s="85"/>
      <c r="WUA2" s="85"/>
      <c r="WUB2" s="85"/>
      <c r="WUC2" s="85"/>
      <c r="WUD2" s="85"/>
      <c r="WUE2" s="85"/>
      <c r="WUF2" s="85"/>
      <c r="WUG2" s="85"/>
      <c r="WUH2" s="85"/>
      <c r="WUI2" s="85"/>
      <c r="WUJ2" s="85"/>
      <c r="WUK2" s="85"/>
      <c r="WUL2" s="85"/>
      <c r="WUM2" s="85"/>
      <c r="WUN2" s="85"/>
      <c r="WUO2" s="85"/>
      <c r="WUP2" s="85"/>
      <c r="WUQ2" s="85"/>
      <c r="WUR2" s="85"/>
      <c r="WUS2" s="85"/>
      <c r="WUT2" s="85"/>
      <c r="WUU2" s="85"/>
      <c r="WUV2" s="85"/>
      <c r="WUW2" s="85"/>
      <c r="WUX2" s="85"/>
      <c r="WUY2" s="85"/>
      <c r="WUZ2" s="85"/>
      <c r="WVA2" s="85"/>
      <c r="WVB2" s="85"/>
      <c r="WVC2" s="85"/>
      <c r="WVD2" s="85"/>
      <c r="WVE2" s="85"/>
      <c r="WVF2" s="85"/>
      <c r="WVG2" s="85"/>
      <c r="WVH2" s="85"/>
      <c r="WVI2" s="85"/>
      <c r="WVJ2" s="85"/>
      <c r="WVK2" s="85"/>
      <c r="WVL2" s="85"/>
      <c r="WVM2" s="85"/>
      <c r="WVN2" s="85"/>
      <c r="WVO2" s="85"/>
      <c r="WVP2" s="85"/>
      <c r="WVQ2" s="85"/>
      <c r="WVR2" s="85"/>
      <c r="WVS2" s="85"/>
      <c r="WVT2" s="85"/>
      <c r="WVU2" s="85"/>
      <c r="WVV2" s="85"/>
      <c r="WVW2" s="85"/>
      <c r="WVX2" s="85"/>
      <c r="WVY2" s="85"/>
      <c r="WVZ2" s="85"/>
      <c r="WWA2" s="85"/>
      <c r="WWB2" s="85"/>
      <c r="WWC2" s="85"/>
      <c r="WWD2" s="85"/>
      <c r="WWE2" s="85"/>
      <c r="WWF2" s="85"/>
      <c r="WWG2" s="85"/>
      <c r="WWH2" s="85"/>
      <c r="WWI2" s="85"/>
      <c r="WWJ2" s="85"/>
      <c r="WWK2" s="85"/>
      <c r="WWL2" s="85"/>
      <c r="WWM2" s="85"/>
      <c r="WWN2" s="85"/>
      <c r="WWO2" s="85"/>
      <c r="WWP2" s="85"/>
      <c r="WWQ2" s="85"/>
      <c r="WWR2" s="85"/>
      <c r="WWS2" s="85"/>
      <c r="WWT2" s="85"/>
      <c r="WWU2" s="85"/>
      <c r="WWV2" s="85"/>
      <c r="WWW2" s="85"/>
      <c r="WWX2" s="85"/>
      <c r="WWY2" s="85"/>
      <c r="WWZ2" s="85"/>
      <c r="WXA2" s="85"/>
      <c r="WXB2" s="85"/>
      <c r="WXC2" s="85"/>
      <c r="WXD2" s="85"/>
      <c r="WXE2" s="85"/>
      <c r="WXF2" s="85"/>
      <c r="WXG2" s="85"/>
      <c r="WXH2" s="85"/>
      <c r="WXI2" s="85"/>
      <c r="WXJ2" s="85"/>
      <c r="WXK2" s="85"/>
      <c r="WXL2" s="85"/>
      <c r="WXM2" s="85"/>
      <c r="WXN2" s="85"/>
      <c r="WXO2" s="85"/>
      <c r="WXP2" s="85"/>
      <c r="WXQ2" s="85"/>
      <c r="WXR2" s="85"/>
      <c r="WXS2" s="85"/>
      <c r="WXT2" s="85"/>
      <c r="WXU2" s="85"/>
      <c r="WXV2" s="85"/>
      <c r="WXW2" s="85"/>
      <c r="WXX2" s="85"/>
      <c r="WXY2" s="85"/>
      <c r="WXZ2" s="85"/>
      <c r="WYA2" s="85"/>
      <c r="WYB2" s="85"/>
      <c r="WYC2" s="85"/>
      <c r="WYD2" s="85"/>
      <c r="WYE2" s="85"/>
      <c r="WYF2" s="85"/>
      <c r="WYG2" s="85"/>
      <c r="WYH2" s="85"/>
      <c r="WYI2" s="85"/>
      <c r="WYJ2" s="85"/>
      <c r="WYK2" s="85"/>
      <c r="WYL2" s="85"/>
      <c r="WYM2" s="85"/>
      <c r="WYN2" s="85"/>
      <c r="WYO2" s="85"/>
      <c r="WYP2" s="85"/>
      <c r="WYQ2" s="85"/>
      <c r="WYR2" s="85"/>
      <c r="WYS2" s="85"/>
      <c r="WYT2" s="85"/>
      <c r="WYU2" s="85"/>
      <c r="WYV2" s="85"/>
      <c r="WYW2" s="85"/>
      <c r="WYX2" s="85"/>
      <c r="WYY2" s="85"/>
      <c r="WYZ2" s="85"/>
      <c r="WZA2" s="85"/>
      <c r="WZB2" s="85"/>
      <c r="WZC2" s="85"/>
      <c r="WZD2" s="85"/>
      <c r="WZE2" s="85"/>
      <c r="WZF2" s="85"/>
      <c r="WZG2" s="85"/>
      <c r="WZH2" s="85"/>
      <c r="WZI2" s="85"/>
      <c r="WZJ2" s="85"/>
      <c r="WZK2" s="85"/>
      <c r="WZL2" s="85"/>
      <c r="WZM2" s="85"/>
      <c r="WZN2" s="85"/>
      <c r="WZO2" s="85"/>
      <c r="WZP2" s="85"/>
      <c r="WZQ2" s="85"/>
      <c r="WZR2" s="85"/>
      <c r="WZS2" s="85"/>
      <c r="WZT2" s="85"/>
      <c r="WZU2" s="85"/>
      <c r="WZV2" s="85"/>
      <c r="WZW2" s="85"/>
      <c r="WZX2" s="85"/>
      <c r="WZY2" s="85"/>
      <c r="WZZ2" s="85"/>
      <c r="XAA2" s="85"/>
      <c r="XAB2" s="85"/>
      <c r="XAC2" s="85"/>
      <c r="XAD2" s="85"/>
      <c r="XAE2" s="85"/>
      <c r="XAF2" s="85"/>
      <c r="XAG2" s="85"/>
      <c r="XAH2" s="85"/>
      <c r="XAI2" s="85"/>
      <c r="XAJ2" s="85"/>
      <c r="XAK2" s="85"/>
      <c r="XAL2" s="85"/>
      <c r="XAM2" s="85"/>
      <c r="XAN2" s="85"/>
      <c r="XAO2" s="85"/>
      <c r="XAP2" s="85"/>
      <c r="XAQ2" s="85"/>
      <c r="XAR2" s="85"/>
      <c r="XAS2" s="85"/>
      <c r="XAT2" s="85"/>
      <c r="XAU2" s="85"/>
      <c r="XAV2" s="85"/>
      <c r="XAW2" s="85"/>
      <c r="XAX2" s="85"/>
      <c r="XAY2" s="85"/>
      <c r="XAZ2" s="85"/>
      <c r="XBA2" s="85"/>
      <c r="XBB2" s="85"/>
      <c r="XBC2" s="85"/>
      <c r="XBD2" s="85"/>
      <c r="XBE2" s="85"/>
      <c r="XBF2" s="85"/>
      <c r="XBG2" s="85"/>
      <c r="XBH2" s="85"/>
      <c r="XBI2" s="85"/>
      <c r="XBJ2" s="85"/>
      <c r="XBK2" s="85"/>
      <c r="XBL2" s="85"/>
      <c r="XBM2" s="85"/>
      <c r="XBN2" s="85"/>
      <c r="XBO2" s="85"/>
      <c r="XBP2" s="85"/>
      <c r="XBQ2" s="85"/>
      <c r="XBR2" s="85"/>
      <c r="XBS2" s="85"/>
      <c r="XBT2" s="85"/>
      <c r="XBU2" s="85"/>
      <c r="XBV2" s="85"/>
      <c r="XBW2" s="85"/>
      <c r="XBX2" s="85"/>
      <c r="XBY2" s="85"/>
      <c r="XBZ2" s="85"/>
      <c r="XCA2" s="85"/>
      <c r="XCB2" s="85"/>
      <c r="XCC2" s="85"/>
      <c r="XCD2" s="85"/>
      <c r="XCE2" s="85"/>
      <c r="XCF2" s="85"/>
      <c r="XCG2" s="85"/>
      <c r="XCH2" s="85"/>
      <c r="XCI2" s="85"/>
      <c r="XCJ2" s="85"/>
      <c r="XCK2" s="85"/>
      <c r="XCL2" s="85"/>
      <c r="XCM2" s="85"/>
      <c r="XCN2" s="85"/>
      <c r="XCO2" s="85"/>
      <c r="XCP2" s="85"/>
      <c r="XCQ2" s="85"/>
      <c r="XCR2" s="85"/>
      <c r="XCS2" s="85"/>
      <c r="XCT2" s="85"/>
      <c r="XCU2" s="85"/>
      <c r="XCV2" s="85"/>
      <c r="XCW2" s="85"/>
      <c r="XCX2" s="85"/>
      <c r="XCY2" s="85"/>
      <c r="XCZ2" s="85"/>
      <c r="XDA2" s="85"/>
      <c r="XDB2" s="85"/>
      <c r="XDC2" s="85"/>
      <c r="XDD2" s="85"/>
      <c r="XDE2" s="85"/>
      <c r="XDF2" s="85"/>
      <c r="XDG2" s="85"/>
      <c r="XDH2" s="85"/>
      <c r="XDI2" s="85"/>
      <c r="XDJ2" s="85"/>
      <c r="XDK2" s="85"/>
      <c r="XDL2" s="85"/>
      <c r="XDM2" s="85"/>
      <c r="XDN2" s="85"/>
      <c r="XDO2" s="85"/>
      <c r="XDP2" s="85"/>
      <c r="XDQ2" s="85"/>
      <c r="XDR2" s="85"/>
      <c r="XDS2" s="85"/>
      <c r="XDT2" s="85"/>
      <c r="XDU2" s="85"/>
      <c r="XDV2" s="85"/>
      <c r="XDW2" s="85"/>
      <c r="XDX2" s="85"/>
      <c r="XDY2" s="85"/>
      <c r="XDZ2" s="85"/>
      <c r="XEA2" s="85"/>
      <c r="XEB2" s="85"/>
      <c r="XEC2" s="85"/>
      <c r="XED2" s="85"/>
      <c r="XEE2" s="85"/>
      <c r="XEF2" s="85"/>
      <c r="XEG2" s="85"/>
      <c r="XEH2" s="85"/>
      <c r="XEI2" s="85"/>
      <c r="XEJ2" s="85"/>
      <c r="XEK2" s="85"/>
      <c r="XEL2" s="85"/>
      <c r="XEM2" s="85"/>
      <c r="XEN2" s="85"/>
      <c r="XEO2" s="85"/>
      <c r="XEP2" s="85"/>
      <c r="XEQ2" s="85"/>
      <c r="XER2" s="85"/>
      <c r="XES2" s="85"/>
      <c r="XET2" s="85"/>
      <c r="XEU2" s="85"/>
      <c r="XEV2" s="85"/>
      <c r="XEW2" s="85"/>
      <c r="XEX2" s="85"/>
      <c r="XEY2" s="85"/>
      <c r="XEZ2" s="85"/>
      <c r="XFA2" s="85"/>
      <c r="XFB2" s="85"/>
      <c r="XFC2" s="85"/>
      <c r="XFD2" s="85"/>
    </row>
    <row r="3" spans="2:16384" s="31" customFormat="1" ht="15.5" x14ac:dyDescent="0.3">
      <c r="C3" s="34"/>
      <c r="D3" s="84"/>
      <c r="G3" s="34"/>
      <c r="H3" s="84"/>
      <c r="J3" s="33"/>
      <c r="K3" s="34"/>
      <c r="L3" s="3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c r="NX3" s="84"/>
      <c r="NY3" s="84"/>
      <c r="NZ3" s="84"/>
      <c r="OA3" s="84"/>
      <c r="OB3" s="84"/>
      <c r="OC3" s="84"/>
      <c r="OD3" s="84"/>
      <c r="OE3" s="84"/>
      <c r="OF3" s="84"/>
      <c r="OG3" s="84"/>
      <c r="OH3" s="84"/>
      <c r="OI3" s="84"/>
      <c r="OJ3" s="84"/>
      <c r="OK3" s="84"/>
      <c r="OL3" s="84"/>
      <c r="OM3" s="84"/>
      <c r="ON3" s="84"/>
      <c r="OO3" s="84"/>
      <c r="OP3" s="84"/>
      <c r="OQ3" s="84"/>
      <c r="OR3" s="84"/>
      <c r="OS3" s="84"/>
      <c r="OT3" s="84"/>
      <c r="OU3" s="84"/>
      <c r="OV3" s="84"/>
      <c r="OW3" s="84"/>
      <c r="OX3" s="84"/>
      <c r="OY3" s="84"/>
      <c r="OZ3" s="84"/>
      <c r="PA3" s="84"/>
      <c r="PB3" s="84"/>
      <c r="PC3" s="84"/>
      <c r="PD3" s="84"/>
      <c r="PE3" s="84"/>
      <c r="PF3" s="84"/>
      <c r="PG3" s="84"/>
      <c r="PH3" s="84"/>
      <c r="PI3" s="84"/>
      <c r="PJ3" s="84"/>
      <c r="PK3" s="84"/>
      <c r="PL3" s="84"/>
      <c r="PM3" s="84"/>
      <c r="PN3" s="84"/>
      <c r="PO3" s="84"/>
      <c r="PP3" s="84"/>
      <c r="PQ3" s="84"/>
      <c r="PR3" s="84"/>
      <c r="PS3" s="84"/>
      <c r="PT3" s="84"/>
      <c r="PU3" s="84"/>
      <c r="PV3" s="84"/>
      <c r="PW3" s="84"/>
      <c r="PX3" s="84"/>
      <c r="PY3" s="84"/>
      <c r="PZ3" s="84"/>
      <c r="QA3" s="84"/>
      <c r="QB3" s="84"/>
      <c r="QC3" s="84"/>
      <c r="QD3" s="84"/>
      <c r="QE3" s="84"/>
      <c r="QF3" s="84"/>
      <c r="QG3" s="84"/>
      <c r="QH3" s="84"/>
      <c r="QI3" s="84"/>
      <c r="QJ3" s="84"/>
      <c r="QK3" s="84"/>
      <c r="QL3" s="84"/>
      <c r="QM3" s="84"/>
      <c r="QN3" s="84"/>
      <c r="QO3" s="84"/>
      <c r="QP3" s="84"/>
      <c r="QQ3" s="84"/>
      <c r="QR3" s="84"/>
      <c r="QS3" s="84"/>
      <c r="QT3" s="84"/>
      <c r="QU3" s="84"/>
      <c r="QV3" s="84"/>
      <c r="QW3" s="84"/>
      <c r="QX3" s="84"/>
      <c r="QY3" s="84"/>
      <c r="QZ3" s="84"/>
      <c r="RA3" s="84"/>
      <c r="RB3" s="84"/>
      <c r="RC3" s="84"/>
      <c r="RD3" s="84"/>
      <c r="RE3" s="84"/>
      <c r="RF3" s="84"/>
      <c r="RG3" s="84"/>
      <c r="RH3" s="84"/>
      <c r="RI3" s="84"/>
      <c r="RJ3" s="84"/>
      <c r="RK3" s="84"/>
      <c r="RL3" s="84"/>
      <c r="RM3" s="84"/>
      <c r="RN3" s="84"/>
      <c r="RO3" s="84"/>
      <c r="RP3" s="84"/>
      <c r="RQ3" s="84"/>
      <c r="RR3" s="84"/>
      <c r="RS3" s="84"/>
      <c r="RT3" s="84"/>
      <c r="RU3" s="84"/>
      <c r="RV3" s="84"/>
      <c r="RW3" s="84"/>
      <c r="RX3" s="84"/>
      <c r="RY3" s="84"/>
      <c r="RZ3" s="84"/>
      <c r="SA3" s="84"/>
      <c r="SB3" s="84"/>
      <c r="SC3" s="84"/>
      <c r="SD3" s="84"/>
      <c r="SE3" s="84"/>
      <c r="SF3" s="84"/>
      <c r="SG3" s="84"/>
      <c r="SH3" s="84"/>
      <c r="SI3" s="84"/>
      <c r="SJ3" s="84"/>
      <c r="SK3" s="84"/>
      <c r="SL3" s="84"/>
      <c r="SM3" s="84"/>
      <c r="SN3" s="84"/>
      <c r="SO3" s="84"/>
      <c r="SP3" s="84"/>
      <c r="SQ3" s="84"/>
      <c r="SR3" s="84"/>
      <c r="SS3" s="84"/>
      <c r="ST3" s="84"/>
      <c r="SU3" s="84"/>
      <c r="SV3" s="84"/>
      <c r="SW3" s="84"/>
      <c r="SX3" s="84"/>
      <c r="SY3" s="84"/>
      <c r="SZ3" s="84"/>
      <c r="TA3" s="84"/>
      <c r="TB3" s="84"/>
      <c r="TC3" s="84"/>
      <c r="TD3" s="84"/>
      <c r="TE3" s="84"/>
      <c r="TF3" s="84"/>
      <c r="TG3" s="84"/>
      <c r="TH3" s="84"/>
      <c r="TI3" s="84"/>
      <c r="TJ3" s="84"/>
      <c r="TK3" s="84"/>
      <c r="TL3" s="84"/>
      <c r="TM3" s="84"/>
      <c r="TN3" s="84"/>
      <c r="TO3" s="84"/>
      <c r="TP3" s="84"/>
      <c r="TQ3" s="84"/>
      <c r="TR3" s="84"/>
      <c r="TS3" s="84"/>
      <c r="TT3" s="84"/>
      <c r="TU3" s="84"/>
      <c r="TV3" s="84"/>
      <c r="TW3" s="84"/>
      <c r="TX3" s="84"/>
      <c r="TY3" s="84"/>
      <c r="TZ3" s="84"/>
      <c r="UA3" s="84"/>
      <c r="UB3" s="84"/>
      <c r="UC3" s="84"/>
      <c r="UD3" s="84"/>
      <c r="UE3" s="84"/>
      <c r="UF3" s="84"/>
      <c r="UG3" s="84"/>
      <c r="UH3" s="84"/>
      <c r="UI3" s="84"/>
      <c r="UJ3" s="84"/>
      <c r="UK3" s="84"/>
      <c r="UL3" s="84"/>
      <c r="UM3" s="84"/>
      <c r="UN3" s="84"/>
      <c r="UO3" s="84"/>
      <c r="UP3" s="84"/>
      <c r="UQ3" s="84"/>
      <c r="UR3" s="84"/>
      <c r="US3" s="84"/>
      <c r="UT3" s="84"/>
      <c r="UU3" s="84"/>
      <c r="UV3" s="84"/>
      <c r="UW3" s="84"/>
      <c r="UX3" s="84"/>
      <c r="UY3" s="84"/>
      <c r="UZ3" s="84"/>
      <c r="VA3" s="84"/>
      <c r="VB3" s="84"/>
      <c r="VC3" s="84"/>
      <c r="VD3" s="84"/>
      <c r="VE3" s="84"/>
      <c r="VF3" s="84"/>
      <c r="VG3" s="84"/>
      <c r="VH3" s="84"/>
      <c r="VI3" s="84"/>
      <c r="VJ3" s="84"/>
      <c r="VK3" s="84"/>
      <c r="VL3" s="84"/>
      <c r="VM3" s="84"/>
      <c r="VN3" s="84"/>
      <c r="VO3" s="84"/>
      <c r="VP3" s="84"/>
      <c r="VQ3" s="84"/>
      <c r="VR3" s="84"/>
      <c r="VS3" s="84"/>
      <c r="VT3" s="84"/>
      <c r="VU3" s="84"/>
      <c r="VV3" s="84"/>
      <c r="VW3" s="84"/>
      <c r="VX3" s="84"/>
      <c r="VY3" s="84"/>
      <c r="VZ3" s="84"/>
      <c r="WA3" s="84"/>
      <c r="WB3" s="84"/>
      <c r="WC3" s="84"/>
      <c r="WD3" s="84"/>
      <c r="WE3" s="84"/>
      <c r="WF3" s="84"/>
      <c r="WG3" s="84"/>
      <c r="WH3" s="84"/>
      <c r="WI3" s="84"/>
      <c r="WJ3" s="84"/>
      <c r="WK3" s="84"/>
      <c r="WL3" s="84"/>
      <c r="WM3" s="84"/>
      <c r="WN3" s="84"/>
      <c r="WO3" s="84"/>
      <c r="WP3" s="84"/>
      <c r="WQ3" s="84"/>
      <c r="WR3" s="84"/>
      <c r="WS3" s="84"/>
      <c r="WT3" s="84"/>
      <c r="WU3" s="84"/>
      <c r="WV3" s="84"/>
      <c r="WW3" s="84"/>
      <c r="WX3" s="84"/>
      <c r="WY3" s="84"/>
      <c r="WZ3" s="84"/>
      <c r="XA3" s="84"/>
      <c r="XB3" s="84"/>
      <c r="XC3" s="84"/>
      <c r="XD3" s="84"/>
      <c r="XE3" s="84"/>
      <c r="XF3" s="84"/>
      <c r="XG3" s="84"/>
      <c r="XH3" s="84"/>
      <c r="XI3" s="84"/>
      <c r="XJ3" s="84"/>
      <c r="XK3" s="84"/>
      <c r="XL3" s="84"/>
      <c r="XM3" s="84"/>
      <c r="XN3" s="84"/>
      <c r="XO3" s="84"/>
      <c r="XP3" s="84"/>
      <c r="XQ3" s="84"/>
      <c r="XR3" s="84"/>
      <c r="XS3" s="84"/>
      <c r="XT3" s="84"/>
      <c r="XU3" s="84"/>
      <c r="XV3" s="84"/>
      <c r="XW3" s="84"/>
      <c r="XX3" s="84"/>
      <c r="XY3" s="84"/>
      <c r="XZ3" s="84"/>
      <c r="YA3" s="84"/>
      <c r="YB3" s="84"/>
      <c r="YC3" s="84"/>
      <c r="YD3" s="84"/>
      <c r="YE3" s="84"/>
      <c r="YF3" s="84"/>
      <c r="YG3" s="84"/>
      <c r="YH3" s="84"/>
      <c r="YI3" s="84"/>
      <c r="YJ3" s="84"/>
      <c r="YK3" s="84"/>
      <c r="YL3" s="84"/>
      <c r="YM3" s="84"/>
      <c r="YN3" s="84"/>
      <c r="YO3" s="84"/>
      <c r="YP3" s="84"/>
      <c r="YQ3" s="84"/>
      <c r="YR3" s="84"/>
      <c r="YS3" s="84"/>
      <c r="YT3" s="84"/>
      <c r="YU3" s="84"/>
      <c r="YV3" s="84"/>
      <c r="YW3" s="84"/>
      <c r="YX3" s="84"/>
      <c r="YY3" s="84"/>
      <c r="YZ3" s="84"/>
      <c r="ZA3" s="84"/>
      <c r="ZB3" s="84"/>
      <c r="ZC3" s="84"/>
      <c r="ZD3" s="84"/>
      <c r="ZE3" s="84"/>
      <c r="ZF3" s="84"/>
      <c r="ZG3" s="84"/>
      <c r="ZH3" s="84"/>
      <c r="ZI3" s="84"/>
      <c r="ZJ3" s="84"/>
      <c r="ZK3" s="84"/>
      <c r="ZL3" s="84"/>
      <c r="ZM3" s="84"/>
      <c r="ZN3" s="84"/>
      <c r="ZO3" s="84"/>
      <c r="ZP3" s="84"/>
      <c r="ZQ3" s="84"/>
      <c r="ZR3" s="84"/>
      <c r="ZS3" s="84"/>
      <c r="ZT3" s="84"/>
      <c r="ZU3" s="84"/>
      <c r="ZV3" s="84"/>
      <c r="ZW3" s="84"/>
      <c r="ZX3" s="84"/>
      <c r="ZY3" s="84"/>
      <c r="ZZ3" s="84"/>
      <c r="AAA3" s="84"/>
      <c r="AAB3" s="84"/>
      <c r="AAC3" s="84"/>
      <c r="AAD3" s="84"/>
      <c r="AAE3" s="84"/>
      <c r="AAF3" s="84"/>
      <c r="AAG3" s="84"/>
      <c r="AAH3" s="84"/>
      <c r="AAI3" s="84"/>
      <c r="AAJ3" s="84"/>
      <c r="AAK3" s="84"/>
      <c r="AAL3" s="84"/>
      <c r="AAM3" s="84"/>
      <c r="AAN3" s="84"/>
      <c r="AAO3" s="84"/>
      <c r="AAP3" s="84"/>
      <c r="AAQ3" s="84"/>
      <c r="AAR3" s="84"/>
      <c r="AAS3" s="84"/>
      <c r="AAT3" s="84"/>
      <c r="AAU3" s="84"/>
      <c r="AAV3" s="84"/>
      <c r="AAW3" s="84"/>
      <c r="AAX3" s="84"/>
      <c r="AAY3" s="84"/>
      <c r="AAZ3" s="84"/>
      <c r="ABA3" s="84"/>
      <c r="ABB3" s="84"/>
      <c r="ABC3" s="84"/>
      <c r="ABD3" s="84"/>
      <c r="ABE3" s="84"/>
      <c r="ABF3" s="84"/>
      <c r="ABG3" s="84"/>
      <c r="ABH3" s="84"/>
      <c r="ABI3" s="84"/>
      <c r="ABJ3" s="84"/>
      <c r="ABK3" s="84"/>
      <c r="ABL3" s="84"/>
      <c r="ABM3" s="84"/>
      <c r="ABN3" s="84"/>
      <c r="ABO3" s="84"/>
      <c r="ABP3" s="84"/>
      <c r="ABQ3" s="84"/>
      <c r="ABR3" s="84"/>
      <c r="ABS3" s="84"/>
      <c r="ABT3" s="84"/>
      <c r="ABU3" s="84"/>
      <c r="ABV3" s="84"/>
      <c r="ABW3" s="84"/>
      <c r="ABX3" s="84"/>
      <c r="ABY3" s="84"/>
      <c r="ABZ3" s="84"/>
      <c r="ACA3" s="84"/>
      <c r="ACB3" s="84"/>
      <c r="ACC3" s="84"/>
      <c r="ACD3" s="84"/>
      <c r="ACE3" s="84"/>
      <c r="ACF3" s="84"/>
      <c r="ACG3" s="84"/>
      <c r="ACH3" s="84"/>
      <c r="ACI3" s="84"/>
      <c r="ACJ3" s="84"/>
      <c r="ACK3" s="84"/>
      <c r="ACL3" s="84"/>
      <c r="ACM3" s="84"/>
      <c r="ACN3" s="84"/>
      <c r="ACO3" s="84"/>
      <c r="ACP3" s="84"/>
      <c r="ACQ3" s="84"/>
      <c r="ACR3" s="84"/>
      <c r="ACS3" s="84"/>
      <c r="ACT3" s="84"/>
      <c r="ACU3" s="84"/>
      <c r="ACV3" s="84"/>
      <c r="ACW3" s="84"/>
      <c r="ACX3" s="84"/>
      <c r="ACY3" s="84"/>
      <c r="ACZ3" s="84"/>
      <c r="ADA3" s="84"/>
      <c r="ADB3" s="84"/>
      <c r="ADC3" s="84"/>
      <c r="ADD3" s="84"/>
      <c r="ADE3" s="84"/>
      <c r="ADF3" s="84"/>
      <c r="ADG3" s="84"/>
      <c r="ADH3" s="84"/>
      <c r="ADI3" s="84"/>
      <c r="ADJ3" s="84"/>
      <c r="ADK3" s="84"/>
      <c r="ADL3" s="84"/>
      <c r="ADM3" s="84"/>
      <c r="ADN3" s="84"/>
      <c r="ADO3" s="84"/>
      <c r="ADP3" s="84"/>
      <c r="ADQ3" s="84"/>
      <c r="ADR3" s="84"/>
      <c r="ADS3" s="84"/>
      <c r="ADT3" s="84"/>
      <c r="ADU3" s="84"/>
      <c r="ADV3" s="84"/>
      <c r="ADW3" s="84"/>
      <c r="ADX3" s="84"/>
      <c r="ADY3" s="84"/>
      <c r="ADZ3" s="84"/>
      <c r="AEA3" s="84"/>
      <c r="AEB3" s="84"/>
      <c r="AEC3" s="84"/>
      <c r="AED3" s="84"/>
      <c r="AEE3" s="84"/>
      <c r="AEF3" s="84"/>
      <c r="AEG3" s="84"/>
      <c r="AEH3" s="84"/>
      <c r="AEI3" s="84"/>
      <c r="AEJ3" s="84"/>
      <c r="AEK3" s="84"/>
      <c r="AEL3" s="84"/>
      <c r="AEM3" s="84"/>
      <c r="AEN3" s="84"/>
      <c r="AEO3" s="84"/>
      <c r="AEP3" s="84"/>
      <c r="AEQ3" s="84"/>
      <c r="AER3" s="84"/>
      <c r="AES3" s="84"/>
      <c r="AET3" s="84"/>
      <c r="AEU3" s="84"/>
      <c r="AEV3" s="84"/>
      <c r="AEW3" s="84"/>
      <c r="AEX3" s="84"/>
      <c r="AEY3" s="84"/>
      <c r="AEZ3" s="84"/>
      <c r="AFA3" s="84"/>
      <c r="AFB3" s="84"/>
      <c r="AFC3" s="84"/>
      <c r="AFD3" s="84"/>
      <c r="AFE3" s="84"/>
      <c r="AFF3" s="84"/>
      <c r="AFG3" s="84"/>
      <c r="AFH3" s="84"/>
      <c r="AFI3" s="84"/>
      <c r="AFJ3" s="84"/>
      <c r="AFK3" s="84"/>
      <c r="AFL3" s="84"/>
      <c r="AFM3" s="84"/>
      <c r="AFN3" s="84"/>
      <c r="AFO3" s="84"/>
      <c r="AFP3" s="84"/>
      <c r="AFQ3" s="84"/>
      <c r="AFR3" s="84"/>
      <c r="AFS3" s="84"/>
      <c r="AFT3" s="84"/>
      <c r="AFU3" s="84"/>
      <c r="AFV3" s="84"/>
      <c r="AFW3" s="84"/>
      <c r="AFX3" s="84"/>
      <c r="AFY3" s="84"/>
      <c r="AFZ3" s="84"/>
      <c r="AGA3" s="84"/>
      <c r="AGB3" s="84"/>
      <c r="AGC3" s="84"/>
      <c r="AGD3" s="84"/>
      <c r="AGE3" s="84"/>
      <c r="AGF3" s="84"/>
      <c r="AGG3" s="84"/>
      <c r="AGH3" s="84"/>
      <c r="AGI3" s="84"/>
      <c r="AGJ3" s="84"/>
      <c r="AGK3" s="84"/>
      <c r="AGL3" s="84"/>
      <c r="AGM3" s="84"/>
      <c r="AGN3" s="84"/>
      <c r="AGO3" s="84"/>
      <c r="AGP3" s="84"/>
      <c r="AGQ3" s="84"/>
      <c r="AGR3" s="84"/>
      <c r="AGS3" s="84"/>
      <c r="AGT3" s="84"/>
      <c r="AGU3" s="84"/>
      <c r="AGV3" s="84"/>
      <c r="AGW3" s="84"/>
      <c r="AGX3" s="84"/>
      <c r="AGY3" s="84"/>
      <c r="AGZ3" s="84"/>
      <c r="AHA3" s="84"/>
      <c r="AHB3" s="84"/>
      <c r="AHC3" s="84"/>
      <c r="AHD3" s="84"/>
      <c r="AHE3" s="84"/>
      <c r="AHF3" s="84"/>
      <c r="AHG3" s="84"/>
      <c r="AHH3" s="84"/>
      <c r="AHI3" s="84"/>
      <c r="AHJ3" s="84"/>
      <c r="AHK3" s="84"/>
      <c r="AHL3" s="84"/>
      <c r="AHM3" s="84"/>
      <c r="AHN3" s="84"/>
      <c r="AHO3" s="84"/>
      <c r="AHP3" s="84"/>
      <c r="AHQ3" s="84"/>
      <c r="AHR3" s="84"/>
      <c r="AHS3" s="84"/>
      <c r="AHT3" s="84"/>
      <c r="AHU3" s="84"/>
      <c r="AHV3" s="84"/>
      <c r="AHW3" s="84"/>
      <c r="AHX3" s="84"/>
      <c r="AHY3" s="84"/>
      <c r="AHZ3" s="84"/>
      <c r="AIA3" s="84"/>
      <c r="AIB3" s="84"/>
      <c r="AIC3" s="84"/>
      <c r="AID3" s="84"/>
      <c r="AIE3" s="84"/>
      <c r="AIF3" s="84"/>
      <c r="AIG3" s="84"/>
      <c r="AIH3" s="84"/>
      <c r="AII3" s="84"/>
      <c r="AIJ3" s="84"/>
      <c r="AIK3" s="84"/>
      <c r="AIL3" s="84"/>
      <c r="AIM3" s="84"/>
      <c r="AIN3" s="84"/>
      <c r="AIO3" s="84"/>
      <c r="AIP3" s="84"/>
      <c r="AIQ3" s="84"/>
      <c r="AIR3" s="84"/>
      <c r="AIS3" s="84"/>
      <c r="AIT3" s="84"/>
      <c r="AIU3" s="84"/>
      <c r="AIV3" s="84"/>
      <c r="AIW3" s="84"/>
      <c r="AIX3" s="84"/>
      <c r="AIY3" s="84"/>
      <c r="AIZ3" s="84"/>
      <c r="AJA3" s="84"/>
      <c r="AJB3" s="84"/>
      <c r="AJC3" s="84"/>
      <c r="AJD3" s="84"/>
      <c r="AJE3" s="84"/>
      <c r="AJF3" s="84"/>
      <c r="AJG3" s="84"/>
      <c r="AJH3" s="84"/>
      <c r="AJI3" s="84"/>
      <c r="AJJ3" s="84"/>
      <c r="AJK3" s="84"/>
      <c r="AJL3" s="84"/>
      <c r="AJM3" s="84"/>
      <c r="AJN3" s="84"/>
      <c r="AJO3" s="84"/>
      <c r="AJP3" s="84"/>
      <c r="AJQ3" s="84"/>
      <c r="AJR3" s="84"/>
      <c r="AJS3" s="84"/>
      <c r="AJT3" s="84"/>
      <c r="AJU3" s="84"/>
      <c r="AJV3" s="84"/>
      <c r="AJW3" s="84"/>
      <c r="AJX3" s="84"/>
      <c r="AJY3" s="84"/>
      <c r="AJZ3" s="84"/>
      <c r="AKA3" s="84"/>
      <c r="AKB3" s="84"/>
      <c r="AKC3" s="84"/>
      <c r="AKD3" s="84"/>
      <c r="AKE3" s="84"/>
      <c r="AKF3" s="84"/>
      <c r="AKG3" s="84"/>
      <c r="AKH3" s="84"/>
      <c r="AKI3" s="84"/>
      <c r="AKJ3" s="84"/>
      <c r="AKK3" s="84"/>
      <c r="AKL3" s="84"/>
      <c r="AKM3" s="84"/>
      <c r="AKN3" s="84"/>
      <c r="AKO3" s="84"/>
      <c r="AKP3" s="84"/>
      <c r="AKQ3" s="84"/>
      <c r="AKR3" s="84"/>
      <c r="AKS3" s="84"/>
      <c r="AKT3" s="84"/>
      <c r="AKU3" s="84"/>
      <c r="AKV3" s="84"/>
      <c r="AKW3" s="84"/>
      <c r="AKX3" s="84"/>
      <c r="AKY3" s="84"/>
      <c r="AKZ3" s="84"/>
      <c r="ALA3" s="84"/>
      <c r="ALB3" s="84"/>
      <c r="ALC3" s="84"/>
      <c r="ALD3" s="84"/>
      <c r="ALE3" s="84"/>
      <c r="ALF3" s="84"/>
      <c r="ALG3" s="84"/>
      <c r="ALH3" s="84"/>
      <c r="ALI3" s="84"/>
      <c r="ALJ3" s="84"/>
      <c r="ALK3" s="84"/>
      <c r="ALL3" s="84"/>
      <c r="ALM3" s="84"/>
      <c r="ALN3" s="84"/>
      <c r="ALO3" s="84"/>
      <c r="ALP3" s="84"/>
      <c r="ALQ3" s="84"/>
      <c r="ALR3" s="84"/>
      <c r="ALS3" s="84"/>
      <c r="ALT3" s="84"/>
      <c r="ALU3" s="84"/>
      <c r="ALV3" s="84"/>
      <c r="ALW3" s="84"/>
      <c r="ALX3" s="84"/>
      <c r="ALY3" s="84"/>
      <c r="ALZ3" s="84"/>
      <c r="AMA3" s="84"/>
      <c r="AMB3" s="84"/>
      <c r="AMC3" s="84"/>
      <c r="AMD3" s="84"/>
      <c r="AME3" s="84"/>
      <c r="AMF3" s="84"/>
      <c r="AMG3" s="84"/>
      <c r="AMH3" s="84"/>
      <c r="AMI3" s="84"/>
      <c r="AMJ3" s="84"/>
      <c r="AMK3" s="84"/>
      <c r="AML3" s="84"/>
      <c r="AMM3" s="84"/>
      <c r="AMN3" s="84"/>
      <c r="AMO3" s="84"/>
      <c r="AMP3" s="84"/>
      <c r="AMQ3" s="84"/>
      <c r="AMR3" s="84"/>
      <c r="AMS3" s="84"/>
      <c r="AMT3" s="84"/>
      <c r="AMU3" s="84"/>
      <c r="AMV3" s="84"/>
      <c r="AMW3" s="84"/>
      <c r="AMX3" s="84"/>
      <c r="AMY3" s="84"/>
      <c r="AMZ3" s="84"/>
      <c r="ANA3" s="84"/>
      <c r="ANB3" s="84"/>
      <c r="ANC3" s="84"/>
      <c r="AND3" s="84"/>
      <c r="ANE3" s="84"/>
      <c r="ANF3" s="84"/>
      <c r="ANG3" s="84"/>
      <c r="ANH3" s="84"/>
      <c r="ANI3" s="84"/>
      <c r="ANJ3" s="84"/>
      <c r="ANK3" s="84"/>
      <c r="ANL3" s="84"/>
      <c r="ANM3" s="84"/>
      <c r="ANN3" s="84"/>
      <c r="ANO3" s="84"/>
      <c r="ANP3" s="84"/>
      <c r="ANQ3" s="84"/>
      <c r="ANR3" s="84"/>
      <c r="ANS3" s="84"/>
      <c r="ANT3" s="84"/>
      <c r="ANU3" s="84"/>
      <c r="ANV3" s="84"/>
      <c r="ANW3" s="84"/>
      <c r="ANX3" s="84"/>
      <c r="ANY3" s="84"/>
      <c r="ANZ3" s="84"/>
      <c r="AOA3" s="84"/>
      <c r="AOB3" s="84"/>
      <c r="AOC3" s="84"/>
      <c r="AOD3" s="84"/>
      <c r="AOE3" s="84"/>
      <c r="AOF3" s="84"/>
      <c r="AOG3" s="84"/>
      <c r="AOH3" s="84"/>
      <c r="AOI3" s="84"/>
      <c r="AOJ3" s="84"/>
      <c r="AOK3" s="84"/>
      <c r="AOL3" s="84"/>
      <c r="AOM3" s="84"/>
      <c r="AON3" s="84"/>
      <c r="AOO3" s="84"/>
      <c r="AOP3" s="84"/>
      <c r="AOQ3" s="84"/>
      <c r="AOR3" s="84"/>
      <c r="AOS3" s="84"/>
      <c r="AOT3" s="84"/>
      <c r="AOU3" s="84"/>
      <c r="AOV3" s="84"/>
      <c r="AOW3" s="84"/>
      <c r="AOX3" s="84"/>
      <c r="AOY3" s="84"/>
      <c r="AOZ3" s="84"/>
      <c r="APA3" s="84"/>
      <c r="APB3" s="84"/>
      <c r="APC3" s="84"/>
      <c r="APD3" s="84"/>
      <c r="APE3" s="84"/>
      <c r="APF3" s="84"/>
      <c r="APG3" s="84"/>
      <c r="APH3" s="84"/>
      <c r="API3" s="84"/>
      <c r="APJ3" s="84"/>
      <c r="APK3" s="84"/>
      <c r="APL3" s="84"/>
      <c r="APM3" s="84"/>
      <c r="APN3" s="84"/>
      <c r="APO3" s="84"/>
      <c r="APP3" s="84"/>
      <c r="APQ3" s="84"/>
      <c r="APR3" s="84"/>
      <c r="APS3" s="84"/>
      <c r="APT3" s="84"/>
      <c r="APU3" s="84"/>
      <c r="APV3" s="84"/>
      <c r="APW3" s="84"/>
      <c r="APX3" s="84"/>
      <c r="APY3" s="84"/>
      <c r="APZ3" s="84"/>
      <c r="AQA3" s="84"/>
      <c r="AQB3" s="84"/>
      <c r="AQC3" s="84"/>
      <c r="AQD3" s="84"/>
      <c r="AQE3" s="84"/>
      <c r="AQF3" s="84"/>
      <c r="AQG3" s="84"/>
      <c r="AQH3" s="84"/>
      <c r="AQI3" s="84"/>
      <c r="AQJ3" s="84"/>
      <c r="AQK3" s="84"/>
      <c r="AQL3" s="84"/>
      <c r="AQM3" s="84"/>
      <c r="AQN3" s="84"/>
      <c r="AQO3" s="84"/>
      <c r="AQP3" s="84"/>
      <c r="AQQ3" s="84"/>
      <c r="AQR3" s="84"/>
      <c r="AQS3" s="84"/>
      <c r="AQT3" s="84"/>
      <c r="AQU3" s="84"/>
      <c r="AQV3" s="84"/>
      <c r="AQW3" s="84"/>
      <c r="AQX3" s="84"/>
      <c r="AQY3" s="84"/>
      <c r="AQZ3" s="84"/>
      <c r="ARA3" s="84"/>
      <c r="ARB3" s="84"/>
      <c r="ARC3" s="84"/>
      <c r="ARD3" s="84"/>
      <c r="ARE3" s="84"/>
      <c r="ARF3" s="84"/>
      <c r="ARG3" s="84"/>
      <c r="ARH3" s="84"/>
      <c r="ARI3" s="84"/>
      <c r="ARJ3" s="84"/>
      <c r="ARK3" s="84"/>
      <c r="ARL3" s="84"/>
      <c r="ARM3" s="84"/>
      <c r="ARN3" s="84"/>
      <c r="ARO3" s="84"/>
      <c r="ARP3" s="84"/>
      <c r="ARQ3" s="84"/>
      <c r="ARR3" s="84"/>
      <c r="ARS3" s="84"/>
      <c r="ART3" s="84"/>
      <c r="ARU3" s="84"/>
      <c r="ARV3" s="84"/>
      <c r="ARW3" s="84"/>
      <c r="ARX3" s="84"/>
      <c r="ARY3" s="84"/>
      <c r="ARZ3" s="84"/>
      <c r="ASA3" s="84"/>
      <c r="ASB3" s="84"/>
      <c r="ASC3" s="84"/>
      <c r="ASD3" s="84"/>
      <c r="ASE3" s="84"/>
      <c r="ASF3" s="84"/>
      <c r="ASG3" s="84"/>
      <c r="ASH3" s="84"/>
      <c r="ASI3" s="84"/>
      <c r="ASJ3" s="84"/>
      <c r="ASK3" s="84"/>
      <c r="ASL3" s="84"/>
      <c r="ASM3" s="84"/>
      <c r="ASN3" s="84"/>
      <c r="ASO3" s="84"/>
      <c r="ASP3" s="84"/>
      <c r="ASQ3" s="84"/>
      <c r="ASR3" s="84"/>
      <c r="ASS3" s="84"/>
      <c r="AST3" s="84"/>
      <c r="ASU3" s="84"/>
      <c r="ASV3" s="84"/>
      <c r="ASW3" s="84"/>
      <c r="ASX3" s="84"/>
      <c r="ASY3" s="84"/>
      <c r="ASZ3" s="84"/>
      <c r="ATA3" s="84"/>
      <c r="ATB3" s="84"/>
      <c r="ATC3" s="84"/>
      <c r="ATD3" s="84"/>
      <c r="ATE3" s="84"/>
      <c r="ATF3" s="84"/>
      <c r="ATG3" s="84"/>
      <c r="ATH3" s="84"/>
      <c r="ATI3" s="84"/>
      <c r="ATJ3" s="84"/>
      <c r="ATK3" s="84"/>
      <c r="ATL3" s="84"/>
      <c r="ATM3" s="84"/>
      <c r="ATN3" s="84"/>
      <c r="ATO3" s="84"/>
      <c r="ATP3" s="84"/>
      <c r="ATQ3" s="84"/>
      <c r="ATR3" s="84"/>
      <c r="ATS3" s="84"/>
      <c r="ATT3" s="84"/>
      <c r="ATU3" s="84"/>
      <c r="ATV3" s="84"/>
      <c r="ATW3" s="84"/>
      <c r="ATX3" s="84"/>
      <c r="ATY3" s="84"/>
      <c r="ATZ3" s="84"/>
      <c r="AUA3" s="84"/>
      <c r="AUB3" s="84"/>
      <c r="AUC3" s="84"/>
      <c r="AUD3" s="84"/>
      <c r="AUE3" s="84"/>
      <c r="AUF3" s="84"/>
      <c r="AUG3" s="84"/>
      <c r="AUH3" s="84"/>
      <c r="AUI3" s="84"/>
      <c r="AUJ3" s="84"/>
      <c r="AUK3" s="84"/>
      <c r="AUL3" s="84"/>
      <c r="AUM3" s="84"/>
      <c r="AUN3" s="84"/>
      <c r="AUO3" s="84"/>
      <c r="AUP3" s="84"/>
      <c r="AUQ3" s="84"/>
      <c r="AUR3" s="84"/>
      <c r="AUS3" s="84"/>
      <c r="AUT3" s="84"/>
      <c r="AUU3" s="84"/>
      <c r="AUV3" s="84"/>
      <c r="AUW3" s="84"/>
      <c r="AUX3" s="84"/>
      <c r="AUY3" s="84"/>
      <c r="AUZ3" s="84"/>
      <c r="AVA3" s="84"/>
      <c r="AVB3" s="84"/>
      <c r="AVC3" s="84"/>
      <c r="AVD3" s="84"/>
      <c r="AVE3" s="84"/>
      <c r="AVF3" s="84"/>
      <c r="AVG3" s="84"/>
      <c r="AVH3" s="84"/>
      <c r="AVI3" s="84"/>
      <c r="AVJ3" s="84"/>
      <c r="AVK3" s="84"/>
      <c r="AVL3" s="84"/>
      <c r="AVM3" s="84"/>
      <c r="AVN3" s="84"/>
      <c r="AVO3" s="84"/>
      <c r="AVP3" s="84"/>
      <c r="AVQ3" s="84"/>
      <c r="AVR3" s="84"/>
      <c r="AVS3" s="84"/>
      <c r="AVT3" s="84"/>
      <c r="AVU3" s="84"/>
      <c r="AVV3" s="84"/>
      <c r="AVW3" s="84"/>
      <c r="AVX3" s="84"/>
      <c r="AVY3" s="84"/>
      <c r="AVZ3" s="84"/>
      <c r="AWA3" s="84"/>
      <c r="AWB3" s="84"/>
      <c r="AWC3" s="84"/>
      <c r="AWD3" s="84"/>
      <c r="AWE3" s="84"/>
      <c r="AWF3" s="84"/>
      <c r="AWG3" s="84"/>
      <c r="AWH3" s="84"/>
      <c r="AWI3" s="84"/>
      <c r="AWJ3" s="84"/>
      <c r="AWK3" s="84"/>
      <c r="AWL3" s="84"/>
      <c r="AWM3" s="84"/>
      <c r="AWN3" s="84"/>
      <c r="AWO3" s="84"/>
      <c r="AWP3" s="84"/>
      <c r="AWQ3" s="84"/>
      <c r="AWR3" s="84"/>
      <c r="AWS3" s="84"/>
      <c r="AWT3" s="84"/>
      <c r="AWU3" s="84"/>
      <c r="AWV3" s="84"/>
      <c r="AWW3" s="84"/>
      <c r="AWX3" s="84"/>
      <c r="AWY3" s="84"/>
      <c r="AWZ3" s="84"/>
      <c r="AXA3" s="84"/>
      <c r="AXB3" s="84"/>
      <c r="AXC3" s="84"/>
      <c r="AXD3" s="84"/>
      <c r="AXE3" s="84"/>
      <c r="AXF3" s="84"/>
      <c r="AXG3" s="84"/>
      <c r="AXH3" s="84"/>
      <c r="AXI3" s="84"/>
      <c r="AXJ3" s="84"/>
      <c r="AXK3" s="84"/>
      <c r="AXL3" s="84"/>
      <c r="AXM3" s="84"/>
      <c r="AXN3" s="84"/>
      <c r="AXO3" s="84"/>
      <c r="AXP3" s="84"/>
      <c r="AXQ3" s="84"/>
      <c r="AXR3" s="84"/>
      <c r="AXS3" s="84"/>
      <c r="AXT3" s="84"/>
      <c r="AXU3" s="84"/>
      <c r="AXV3" s="84"/>
      <c r="AXW3" s="84"/>
      <c r="AXX3" s="84"/>
      <c r="AXY3" s="84"/>
      <c r="AXZ3" s="84"/>
      <c r="AYA3" s="84"/>
      <c r="AYB3" s="84"/>
      <c r="AYC3" s="84"/>
      <c r="AYD3" s="84"/>
      <c r="AYE3" s="84"/>
      <c r="AYF3" s="84"/>
      <c r="AYG3" s="84"/>
      <c r="AYH3" s="84"/>
      <c r="AYI3" s="84"/>
      <c r="AYJ3" s="84"/>
      <c r="AYK3" s="84"/>
      <c r="AYL3" s="84"/>
      <c r="AYM3" s="84"/>
      <c r="AYN3" s="84"/>
      <c r="AYO3" s="84"/>
      <c r="AYP3" s="84"/>
      <c r="AYQ3" s="84"/>
      <c r="AYR3" s="84"/>
      <c r="AYS3" s="84"/>
      <c r="AYT3" s="84"/>
      <c r="AYU3" s="84"/>
      <c r="AYV3" s="84"/>
      <c r="AYW3" s="84"/>
      <c r="AYX3" s="84"/>
      <c r="AYY3" s="84"/>
      <c r="AYZ3" s="84"/>
      <c r="AZA3" s="84"/>
      <c r="AZB3" s="84"/>
      <c r="AZC3" s="84"/>
      <c r="AZD3" s="84"/>
      <c r="AZE3" s="84"/>
      <c r="AZF3" s="84"/>
      <c r="AZG3" s="84"/>
      <c r="AZH3" s="84"/>
      <c r="AZI3" s="84"/>
      <c r="AZJ3" s="84"/>
      <c r="AZK3" s="84"/>
      <c r="AZL3" s="84"/>
      <c r="AZM3" s="84"/>
      <c r="AZN3" s="84"/>
      <c r="AZO3" s="84"/>
      <c r="AZP3" s="84"/>
      <c r="AZQ3" s="84"/>
      <c r="AZR3" s="84"/>
      <c r="AZS3" s="84"/>
      <c r="AZT3" s="84"/>
      <c r="AZU3" s="84"/>
      <c r="AZV3" s="84"/>
      <c r="AZW3" s="84"/>
      <c r="AZX3" s="84"/>
      <c r="AZY3" s="84"/>
      <c r="AZZ3" s="84"/>
      <c r="BAA3" s="84"/>
      <c r="BAB3" s="84"/>
      <c r="BAC3" s="84"/>
      <c r="BAD3" s="84"/>
      <c r="BAE3" s="84"/>
      <c r="BAF3" s="84"/>
      <c r="BAG3" s="84"/>
      <c r="BAH3" s="84"/>
      <c r="BAI3" s="84"/>
      <c r="BAJ3" s="84"/>
      <c r="BAK3" s="84"/>
      <c r="BAL3" s="84"/>
      <c r="BAM3" s="84"/>
      <c r="BAN3" s="84"/>
      <c r="BAO3" s="84"/>
      <c r="BAP3" s="84"/>
      <c r="BAQ3" s="84"/>
      <c r="BAR3" s="84"/>
      <c r="BAS3" s="84"/>
      <c r="BAT3" s="84"/>
      <c r="BAU3" s="84"/>
      <c r="BAV3" s="84"/>
      <c r="BAW3" s="84"/>
      <c r="BAX3" s="84"/>
      <c r="BAY3" s="84"/>
      <c r="BAZ3" s="84"/>
      <c r="BBA3" s="84"/>
      <c r="BBB3" s="84"/>
      <c r="BBC3" s="84"/>
      <c r="BBD3" s="84"/>
      <c r="BBE3" s="84"/>
      <c r="BBF3" s="84"/>
      <c r="BBG3" s="84"/>
      <c r="BBH3" s="84"/>
      <c r="BBI3" s="84"/>
      <c r="BBJ3" s="84"/>
      <c r="BBK3" s="84"/>
      <c r="BBL3" s="84"/>
      <c r="BBM3" s="84"/>
      <c r="BBN3" s="84"/>
      <c r="BBO3" s="84"/>
      <c r="BBP3" s="84"/>
      <c r="BBQ3" s="84"/>
      <c r="BBR3" s="84"/>
      <c r="BBS3" s="84"/>
      <c r="BBT3" s="84"/>
      <c r="BBU3" s="84"/>
      <c r="BBV3" s="84"/>
      <c r="BBW3" s="84"/>
      <c r="BBX3" s="84"/>
      <c r="BBY3" s="84"/>
      <c r="BBZ3" s="84"/>
      <c r="BCA3" s="84"/>
      <c r="BCB3" s="84"/>
      <c r="BCC3" s="84"/>
      <c r="BCD3" s="84"/>
      <c r="BCE3" s="84"/>
      <c r="BCF3" s="84"/>
      <c r="BCG3" s="84"/>
      <c r="BCH3" s="84"/>
      <c r="BCI3" s="84"/>
      <c r="BCJ3" s="84"/>
      <c r="BCK3" s="84"/>
      <c r="BCL3" s="84"/>
      <c r="BCM3" s="84"/>
      <c r="BCN3" s="84"/>
      <c r="BCO3" s="84"/>
      <c r="BCP3" s="84"/>
      <c r="BCQ3" s="84"/>
      <c r="BCR3" s="84"/>
      <c r="BCS3" s="84"/>
      <c r="BCT3" s="84"/>
      <c r="BCU3" s="84"/>
      <c r="BCV3" s="84"/>
      <c r="BCW3" s="84"/>
      <c r="BCX3" s="84"/>
      <c r="BCY3" s="84"/>
      <c r="BCZ3" s="84"/>
      <c r="BDA3" s="84"/>
      <c r="BDB3" s="84"/>
      <c r="BDC3" s="84"/>
      <c r="BDD3" s="84"/>
      <c r="BDE3" s="84"/>
      <c r="BDF3" s="84"/>
      <c r="BDG3" s="84"/>
      <c r="BDH3" s="84"/>
      <c r="BDI3" s="84"/>
      <c r="BDJ3" s="84"/>
      <c r="BDK3" s="84"/>
      <c r="BDL3" s="84"/>
      <c r="BDM3" s="84"/>
      <c r="BDN3" s="84"/>
      <c r="BDO3" s="84"/>
      <c r="BDP3" s="84"/>
      <c r="BDQ3" s="84"/>
      <c r="BDR3" s="84"/>
      <c r="BDS3" s="84"/>
      <c r="BDT3" s="84"/>
      <c r="BDU3" s="84"/>
      <c r="BDV3" s="84"/>
      <c r="BDW3" s="84"/>
      <c r="BDX3" s="84"/>
      <c r="BDY3" s="84"/>
      <c r="BDZ3" s="84"/>
      <c r="BEA3" s="84"/>
      <c r="BEB3" s="84"/>
      <c r="BEC3" s="84"/>
      <c r="BED3" s="84"/>
      <c r="BEE3" s="84"/>
      <c r="BEF3" s="84"/>
      <c r="BEG3" s="84"/>
      <c r="BEH3" s="84"/>
      <c r="BEI3" s="84"/>
      <c r="BEJ3" s="84"/>
      <c r="BEK3" s="84"/>
      <c r="BEL3" s="84"/>
      <c r="BEM3" s="84"/>
      <c r="BEN3" s="84"/>
      <c r="BEO3" s="84"/>
      <c r="BEP3" s="84"/>
      <c r="BEQ3" s="84"/>
      <c r="BER3" s="84"/>
      <c r="BES3" s="84"/>
      <c r="BET3" s="84"/>
      <c r="BEU3" s="84"/>
      <c r="BEV3" s="84"/>
      <c r="BEW3" s="84"/>
      <c r="BEX3" s="84"/>
      <c r="BEY3" s="84"/>
      <c r="BEZ3" s="84"/>
      <c r="BFA3" s="84"/>
      <c r="BFB3" s="84"/>
      <c r="BFC3" s="84"/>
      <c r="BFD3" s="84"/>
      <c r="BFE3" s="84"/>
      <c r="BFF3" s="84"/>
      <c r="BFG3" s="84"/>
      <c r="BFH3" s="84"/>
      <c r="BFI3" s="84"/>
      <c r="BFJ3" s="84"/>
      <c r="BFK3" s="84"/>
      <c r="BFL3" s="84"/>
      <c r="BFM3" s="84"/>
      <c r="BFN3" s="84"/>
      <c r="BFO3" s="84"/>
      <c r="BFP3" s="84"/>
      <c r="BFQ3" s="84"/>
      <c r="BFR3" s="84"/>
      <c r="BFS3" s="84"/>
      <c r="BFT3" s="84"/>
      <c r="BFU3" s="84"/>
      <c r="BFV3" s="84"/>
      <c r="BFW3" s="84"/>
      <c r="BFX3" s="84"/>
      <c r="BFY3" s="84"/>
      <c r="BFZ3" s="84"/>
      <c r="BGA3" s="84"/>
      <c r="BGB3" s="84"/>
      <c r="BGC3" s="84"/>
      <c r="BGD3" s="84"/>
      <c r="BGE3" s="84"/>
      <c r="BGF3" s="84"/>
      <c r="BGG3" s="84"/>
      <c r="BGH3" s="84"/>
      <c r="BGI3" s="84"/>
      <c r="BGJ3" s="84"/>
      <c r="BGK3" s="84"/>
      <c r="BGL3" s="84"/>
      <c r="BGM3" s="84"/>
      <c r="BGN3" s="84"/>
      <c r="BGO3" s="84"/>
      <c r="BGP3" s="84"/>
      <c r="BGQ3" s="84"/>
      <c r="BGR3" s="84"/>
      <c r="BGS3" s="84"/>
      <c r="BGT3" s="84"/>
      <c r="BGU3" s="84"/>
      <c r="BGV3" s="84"/>
      <c r="BGW3" s="84"/>
      <c r="BGX3" s="84"/>
      <c r="BGY3" s="84"/>
      <c r="BGZ3" s="84"/>
      <c r="BHA3" s="84"/>
      <c r="BHB3" s="84"/>
      <c r="BHC3" s="84"/>
      <c r="BHD3" s="84"/>
      <c r="BHE3" s="84"/>
      <c r="BHF3" s="84"/>
      <c r="BHG3" s="84"/>
      <c r="BHH3" s="84"/>
      <c r="BHI3" s="84"/>
      <c r="BHJ3" s="84"/>
      <c r="BHK3" s="84"/>
      <c r="BHL3" s="84"/>
      <c r="BHM3" s="84"/>
      <c r="BHN3" s="84"/>
      <c r="BHO3" s="84"/>
      <c r="BHP3" s="84"/>
      <c r="BHQ3" s="84"/>
      <c r="BHR3" s="84"/>
      <c r="BHS3" s="84"/>
      <c r="BHT3" s="84"/>
      <c r="BHU3" s="84"/>
      <c r="BHV3" s="84"/>
      <c r="BHW3" s="84"/>
      <c r="BHX3" s="84"/>
      <c r="BHY3" s="84"/>
      <c r="BHZ3" s="84"/>
      <c r="BIA3" s="84"/>
      <c r="BIB3" s="84"/>
      <c r="BIC3" s="84"/>
      <c r="BID3" s="84"/>
      <c r="BIE3" s="84"/>
      <c r="BIF3" s="84"/>
      <c r="BIG3" s="84"/>
      <c r="BIH3" s="84"/>
      <c r="BII3" s="84"/>
      <c r="BIJ3" s="84"/>
      <c r="BIK3" s="84"/>
      <c r="BIL3" s="84"/>
      <c r="BIM3" s="84"/>
      <c r="BIN3" s="84"/>
      <c r="BIO3" s="84"/>
      <c r="BIP3" s="84"/>
      <c r="BIQ3" s="84"/>
      <c r="BIR3" s="84"/>
      <c r="BIS3" s="84"/>
      <c r="BIT3" s="84"/>
      <c r="BIU3" s="84"/>
      <c r="BIV3" s="84"/>
      <c r="BIW3" s="84"/>
      <c r="BIX3" s="84"/>
      <c r="BIY3" s="84"/>
      <c r="BIZ3" s="84"/>
      <c r="BJA3" s="84"/>
      <c r="BJB3" s="84"/>
      <c r="BJC3" s="84"/>
      <c r="BJD3" s="84"/>
      <c r="BJE3" s="84"/>
      <c r="BJF3" s="84"/>
      <c r="BJG3" s="84"/>
      <c r="BJH3" s="84"/>
      <c r="BJI3" s="84"/>
      <c r="BJJ3" s="84"/>
      <c r="BJK3" s="84"/>
      <c r="BJL3" s="84"/>
      <c r="BJM3" s="84"/>
      <c r="BJN3" s="84"/>
      <c r="BJO3" s="84"/>
      <c r="BJP3" s="84"/>
      <c r="BJQ3" s="84"/>
      <c r="BJR3" s="84"/>
      <c r="BJS3" s="84"/>
      <c r="BJT3" s="84"/>
      <c r="BJU3" s="84"/>
      <c r="BJV3" s="84"/>
      <c r="BJW3" s="84"/>
      <c r="BJX3" s="84"/>
      <c r="BJY3" s="84"/>
      <c r="BJZ3" s="84"/>
      <c r="BKA3" s="84"/>
      <c r="BKB3" s="84"/>
      <c r="BKC3" s="84"/>
      <c r="BKD3" s="84"/>
      <c r="BKE3" s="84"/>
      <c r="BKF3" s="84"/>
      <c r="BKG3" s="84"/>
      <c r="BKH3" s="84"/>
      <c r="BKI3" s="84"/>
      <c r="BKJ3" s="84"/>
      <c r="BKK3" s="84"/>
      <c r="BKL3" s="84"/>
      <c r="BKM3" s="84"/>
      <c r="BKN3" s="84"/>
      <c r="BKO3" s="84"/>
      <c r="BKP3" s="84"/>
      <c r="BKQ3" s="84"/>
      <c r="BKR3" s="84"/>
      <c r="BKS3" s="84"/>
      <c r="BKT3" s="84"/>
      <c r="BKU3" s="84"/>
      <c r="BKV3" s="84"/>
      <c r="BKW3" s="84"/>
      <c r="BKX3" s="84"/>
      <c r="BKY3" s="84"/>
      <c r="BKZ3" s="84"/>
      <c r="BLA3" s="84"/>
      <c r="BLB3" s="84"/>
      <c r="BLC3" s="84"/>
      <c r="BLD3" s="84"/>
      <c r="BLE3" s="84"/>
      <c r="BLF3" s="84"/>
      <c r="BLG3" s="84"/>
      <c r="BLH3" s="84"/>
      <c r="BLI3" s="84"/>
      <c r="BLJ3" s="84"/>
      <c r="BLK3" s="84"/>
      <c r="BLL3" s="84"/>
      <c r="BLM3" s="84"/>
      <c r="BLN3" s="84"/>
      <c r="BLO3" s="84"/>
      <c r="BLP3" s="84"/>
      <c r="BLQ3" s="84"/>
      <c r="BLR3" s="84"/>
      <c r="BLS3" s="84"/>
      <c r="BLT3" s="84"/>
      <c r="BLU3" s="84"/>
      <c r="BLV3" s="84"/>
      <c r="BLW3" s="84"/>
      <c r="BLX3" s="84"/>
      <c r="BLY3" s="84"/>
      <c r="BLZ3" s="84"/>
      <c r="BMA3" s="84"/>
      <c r="BMB3" s="84"/>
      <c r="BMC3" s="84"/>
      <c r="BMD3" s="84"/>
      <c r="BME3" s="84"/>
      <c r="BMF3" s="84"/>
      <c r="BMG3" s="84"/>
      <c r="BMH3" s="84"/>
      <c r="BMI3" s="84"/>
      <c r="BMJ3" s="84"/>
      <c r="BMK3" s="84"/>
      <c r="BML3" s="84"/>
      <c r="BMM3" s="84"/>
      <c r="BMN3" s="84"/>
      <c r="BMO3" s="84"/>
      <c r="BMP3" s="84"/>
      <c r="BMQ3" s="84"/>
      <c r="BMR3" s="84"/>
      <c r="BMS3" s="84"/>
      <c r="BMT3" s="84"/>
      <c r="BMU3" s="84"/>
      <c r="BMV3" s="84"/>
      <c r="BMW3" s="84"/>
      <c r="BMX3" s="84"/>
      <c r="BMY3" s="84"/>
      <c r="BMZ3" s="84"/>
      <c r="BNA3" s="84"/>
      <c r="BNB3" s="84"/>
      <c r="BNC3" s="84"/>
      <c r="BND3" s="84"/>
      <c r="BNE3" s="84"/>
      <c r="BNF3" s="84"/>
      <c r="BNG3" s="84"/>
      <c r="BNH3" s="84"/>
      <c r="BNI3" s="84"/>
      <c r="BNJ3" s="84"/>
      <c r="BNK3" s="84"/>
      <c r="BNL3" s="84"/>
      <c r="BNM3" s="84"/>
      <c r="BNN3" s="84"/>
      <c r="BNO3" s="84"/>
      <c r="BNP3" s="84"/>
      <c r="BNQ3" s="84"/>
      <c r="BNR3" s="84"/>
      <c r="BNS3" s="84"/>
      <c r="BNT3" s="84"/>
      <c r="BNU3" s="84"/>
      <c r="BNV3" s="84"/>
      <c r="BNW3" s="84"/>
      <c r="BNX3" s="84"/>
      <c r="BNY3" s="84"/>
      <c r="BNZ3" s="84"/>
      <c r="BOA3" s="84"/>
      <c r="BOB3" s="84"/>
      <c r="BOC3" s="84"/>
      <c r="BOD3" s="84"/>
      <c r="BOE3" s="84"/>
      <c r="BOF3" s="84"/>
      <c r="BOG3" s="84"/>
      <c r="BOH3" s="84"/>
      <c r="BOI3" s="84"/>
      <c r="BOJ3" s="84"/>
      <c r="BOK3" s="84"/>
      <c r="BOL3" s="84"/>
      <c r="BOM3" s="84"/>
      <c r="BON3" s="84"/>
      <c r="BOO3" s="84"/>
      <c r="BOP3" s="84"/>
      <c r="BOQ3" s="84"/>
      <c r="BOR3" s="84"/>
      <c r="BOS3" s="84"/>
      <c r="BOT3" s="84"/>
      <c r="BOU3" s="84"/>
      <c r="BOV3" s="84"/>
      <c r="BOW3" s="84"/>
      <c r="BOX3" s="84"/>
      <c r="BOY3" s="84"/>
      <c r="BOZ3" s="84"/>
      <c r="BPA3" s="84"/>
      <c r="BPB3" s="84"/>
      <c r="BPC3" s="84"/>
      <c r="BPD3" s="84"/>
      <c r="BPE3" s="84"/>
      <c r="BPF3" s="84"/>
      <c r="BPG3" s="84"/>
      <c r="BPH3" s="84"/>
      <c r="BPI3" s="84"/>
      <c r="BPJ3" s="84"/>
      <c r="BPK3" s="84"/>
      <c r="BPL3" s="84"/>
      <c r="BPM3" s="84"/>
      <c r="BPN3" s="84"/>
      <c r="BPO3" s="84"/>
      <c r="BPP3" s="84"/>
      <c r="BPQ3" s="84"/>
      <c r="BPR3" s="84"/>
      <c r="BPS3" s="84"/>
      <c r="BPT3" s="84"/>
      <c r="BPU3" s="84"/>
      <c r="BPV3" s="84"/>
      <c r="BPW3" s="84"/>
      <c r="BPX3" s="84"/>
      <c r="BPY3" s="84"/>
      <c r="BPZ3" s="84"/>
      <c r="BQA3" s="84"/>
      <c r="BQB3" s="84"/>
      <c r="BQC3" s="84"/>
      <c r="BQD3" s="84"/>
      <c r="BQE3" s="84"/>
      <c r="BQF3" s="84"/>
      <c r="BQG3" s="84"/>
      <c r="BQH3" s="84"/>
      <c r="BQI3" s="84"/>
      <c r="BQJ3" s="84"/>
      <c r="BQK3" s="84"/>
      <c r="BQL3" s="84"/>
      <c r="BQM3" s="84"/>
      <c r="BQN3" s="84"/>
      <c r="BQO3" s="84"/>
      <c r="BQP3" s="84"/>
      <c r="BQQ3" s="84"/>
      <c r="BQR3" s="84"/>
      <c r="BQS3" s="84"/>
      <c r="BQT3" s="84"/>
      <c r="BQU3" s="84"/>
      <c r="BQV3" s="84"/>
      <c r="BQW3" s="84"/>
      <c r="BQX3" s="84"/>
      <c r="BQY3" s="84"/>
      <c r="BQZ3" s="84"/>
      <c r="BRA3" s="84"/>
      <c r="BRB3" s="84"/>
      <c r="BRC3" s="84"/>
      <c r="BRD3" s="84"/>
      <c r="BRE3" s="84"/>
      <c r="BRF3" s="84"/>
      <c r="BRG3" s="84"/>
      <c r="BRH3" s="84"/>
      <c r="BRI3" s="84"/>
      <c r="BRJ3" s="84"/>
      <c r="BRK3" s="84"/>
      <c r="BRL3" s="84"/>
      <c r="BRM3" s="84"/>
      <c r="BRN3" s="84"/>
      <c r="BRO3" s="84"/>
      <c r="BRP3" s="84"/>
      <c r="BRQ3" s="84"/>
      <c r="BRR3" s="84"/>
      <c r="BRS3" s="84"/>
      <c r="BRT3" s="84"/>
      <c r="BRU3" s="84"/>
      <c r="BRV3" s="84"/>
      <c r="BRW3" s="84"/>
      <c r="BRX3" s="84"/>
      <c r="BRY3" s="84"/>
      <c r="BRZ3" s="84"/>
      <c r="BSA3" s="84"/>
      <c r="BSB3" s="84"/>
      <c r="BSC3" s="84"/>
      <c r="BSD3" s="84"/>
      <c r="BSE3" s="84"/>
      <c r="BSF3" s="84"/>
      <c r="BSG3" s="84"/>
      <c r="BSH3" s="84"/>
      <c r="BSI3" s="84"/>
      <c r="BSJ3" s="84"/>
      <c r="BSK3" s="84"/>
      <c r="BSL3" s="84"/>
      <c r="BSM3" s="84"/>
      <c r="BSN3" s="84"/>
      <c r="BSO3" s="84"/>
      <c r="BSP3" s="84"/>
      <c r="BSQ3" s="84"/>
      <c r="BSR3" s="84"/>
      <c r="BSS3" s="84"/>
      <c r="BST3" s="84"/>
      <c r="BSU3" s="84"/>
      <c r="BSV3" s="84"/>
      <c r="BSW3" s="84"/>
      <c r="BSX3" s="84"/>
      <c r="BSY3" s="84"/>
      <c r="BSZ3" s="84"/>
      <c r="BTA3" s="84"/>
      <c r="BTB3" s="84"/>
      <c r="BTC3" s="84"/>
      <c r="BTD3" s="84"/>
      <c r="BTE3" s="84"/>
      <c r="BTF3" s="84"/>
      <c r="BTG3" s="84"/>
      <c r="BTH3" s="84"/>
      <c r="BTI3" s="84"/>
      <c r="BTJ3" s="84"/>
      <c r="BTK3" s="84"/>
      <c r="BTL3" s="84"/>
      <c r="BTM3" s="84"/>
      <c r="BTN3" s="84"/>
      <c r="BTO3" s="84"/>
      <c r="BTP3" s="84"/>
      <c r="BTQ3" s="84"/>
      <c r="BTR3" s="84"/>
      <c r="BTS3" s="84"/>
      <c r="BTT3" s="84"/>
      <c r="BTU3" s="84"/>
      <c r="BTV3" s="84"/>
      <c r="BTW3" s="84"/>
      <c r="BTX3" s="84"/>
      <c r="BTY3" s="84"/>
      <c r="BTZ3" s="84"/>
      <c r="BUA3" s="84"/>
      <c r="BUB3" s="84"/>
      <c r="BUC3" s="84"/>
      <c r="BUD3" s="84"/>
      <c r="BUE3" s="84"/>
      <c r="BUF3" s="84"/>
      <c r="BUG3" s="84"/>
      <c r="BUH3" s="84"/>
      <c r="BUI3" s="84"/>
      <c r="BUJ3" s="84"/>
      <c r="BUK3" s="84"/>
      <c r="BUL3" s="84"/>
      <c r="BUM3" s="84"/>
      <c r="BUN3" s="84"/>
      <c r="BUO3" s="84"/>
      <c r="BUP3" s="84"/>
      <c r="BUQ3" s="84"/>
      <c r="BUR3" s="84"/>
      <c r="BUS3" s="84"/>
      <c r="BUT3" s="84"/>
      <c r="BUU3" s="84"/>
      <c r="BUV3" s="84"/>
      <c r="BUW3" s="84"/>
      <c r="BUX3" s="84"/>
      <c r="BUY3" s="84"/>
      <c r="BUZ3" s="84"/>
      <c r="BVA3" s="84"/>
      <c r="BVB3" s="84"/>
      <c r="BVC3" s="84"/>
      <c r="BVD3" s="84"/>
      <c r="BVE3" s="84"/>
      <c r="BVF3" s="84"/>
      <c r="BVG3" s="84"/>
      <c r="BVH3" s="84"/>
      <c r="BVI3" s="84"/>
      <c r="BVJ3" s="84"/>
      <c r="BVK3" s="84"/>
      <c r="BVL3" s="84"/>
      <c r="BVM3" s="84"/>
      <c r="BVN3" s="84"/>
      <c r="BVO3" s="84"/>
      <c r="BVP3" s="84"/>
      <c r="BVQ3" s="84"/>
      <c r="BVR3" s="84"/>
      <c r="BVS3" s="84"/>
      <c r="BVT3" s="84"/>
      <c r="BVU3" s="84"/>
      <c r="BVV3" s="84"/>
      <c r="BVW3" s="84"/>
      <c r="BVX3" s="84"/>
      <c r="BVY3" s="84"/>
      <c r="BVZ3" s="84"/>
      <c r="BWA3" s="84"/>
      <c r="BWB3" s="84"/>
      <c r="BWC3" s="84"/>
      <c r="BWD3" s="84"/>
      <c r="BWE3" s="84"/>
      <c r="BWF3" s="84"/>
      <c r="BWG3" s="84"/>
      <c r="BWH3" s="84"/>
      <c r="BWI3" s="84"/>
      <c r="BWJ3" s="84"/>
      <c r="BWK3" s="84"/>
      <c r="BWL3" s="84"/>
      <c r="BWM3" s="84"/>
      <c r="BWN3" s="84"/>
      <c r="BWO3" s="84"/>
      <c r="BWP3" s="84"/>
      <c r="BWQ3" s="84"/>
      <c r="BWR3" s="84"/>
      <c r="BWS3" s="84"/>
      <c r="BWT3" s="84"/>
      <c r="BWU3" s="84"/>
      <c r="BWV3" s="84"/>
      <c r="BWW3" s="84"/>
      <c r="BWX3" s="84"/>
      <c r="BWY3" s="84"/>
      <c r="BWZ3" s="84"/>
      <c r="BXA3" s="84"/>
      <c r="BXB3" s="84"/>
      <c r="BXC3" s="84"/>
      <c r="BXD3" s="84"/>
      <c r="BXE3" s="84"/>
      <c r="BXF3" s="84"/>
      <c r="BXG3" s="84"/>
      <c r="BXH3" s="84"/>
      <c r="BXI3" s="84"/>
      <c r="BXJ3" s="84"/>
      <c r="BXK3" s="84"/>
      <c r="BXL3" s="84"/>
      <c r="BXM3" s="84"/>
      <c r="BXN3" s="84"/>
      <c r="BXO3" s="84"/>
      <c r="BXP3" s="84"/>
      <c r="BXQ3" s="84"/>
      <c r="BXR3" s="84"/>
      <c r="BXS3" s="84"/>
      <c r="BXT3" s="84"/>
      <c r="BXU3" s="84"/>
      <c r="BXV3" s="84"/>
      <c r="BXW3" s="84"/>
      <c r="BXX3" s="84"/>
      <c r="BXY3" s="84"/>
      <c r="BXZ3" s="84"/>
      <c r="BYA3" s="84"/>
      <c r="BYB3" s="84"/>
      <c r="BYC3" s="84"/>
      <c r="BYD3" s="84"/>
      <c r="BYE3" s="84"/>
      <c r="BYF3" s="84"/>
      <c r="BYG3" s="84"/>
      <c r="BYH3" s="84"/>
      <c r="BYI3" s="84"/>
      <c r="BYJ3" s="84"/>
      <c r="BYK3" s="84"/>
      <c r="BYL3" s="84"/>
      <c r="BYM3" s="84"/>
      <c r="BYN3" s="84"/>
      <c r="BYO3" s="84"/>
      <c r="BYP3" s="84"/>
      <c r="BYQ3" s="84"/>
      <c r="BYR3" s="84"/>
      <c r="BYS3" s="84"/>
      <c r="BYT3" s="84"/>
      <c r="BYU3" s="84"/>
      <c r="BYV3" s="84"/>
      <c r="BYW3" s="84"/>
      <c r="BYX3" s="84"/>
      <c r="BYY3" s="84"/>
      <c r="BYZ3" s="84"/>
      <c r="BZA3" s="84"/>
      <c r="BZB3" s="84"/>
      <c r="BZC3" s="84"/>
      <c r="BZD3" s="84"/>
      <c r="BZE3" s="84"/>
      <c r="BZF3" s="84"/>
      <c r="BZG3" s="84"/>
      <c r="BZH3" s="84"/>
      <c r="BZI3" s="84"/>
      <c r="BZJ3" s="84"/>
      <c r="BZK3" s="84"/>
      <c r="BZL3" s="84"/>
      <c r="BZM3" s="84"/>
      <c r="BZN3" s="84"/>
      <c r="BZO3" s="84"/>
      <c r="BZP3" s="84"/>
      <c r="BZQ3" s="84"/>
      <c r="BZR3" s="84"/>
      <c r="BZS3" s="84"/>
      <c r="BZT3" s="84"/>
      <c r="BZU3" s="84"/>
      <c r="BZV3" s="84"/>
      <c r="BZW3" s="84"/>
      <c r="BZX3" s="84"/>
      <c r="BZY3" s="84"/>
      <c r="BZZ3" s="84"/>
      <c r="CAA3" s="84"/>
      <c r="CAB3" s="84"/>
      <c r="CAC3" s="84"/>
      <c r="CAD3" s="84"/>
      <c r="CAE3" s="84"/>
      <c r="CAF3" s="84"/>
      <c r="CAG3" s="84"/>
      <c r="CAH3" s="84"/>
      <c r="CAI3" s="84"/>
      <c r="CAJ3" s="84"/>
      <c r="CAK3" s="84"/>
      <c r="CAL3" s="84"/>
      <c r="CAM3" s="84"/>
      <c r="CAN3" s="84"/>
      <c r="CAO3" s="84"/>
      <c r="CAP3" s="84"/>
      <c r="CAQ3" s="84"/>
      <c r="CAR3" s="84"/>
      <c r="CAS3" s="84"/>
      <c r="CAT3" s="84"/>
      <c r="CAU3" s="84"/>
      <c r="CAV3" s="84"/>
      <c r="CAW3" s="84"/>
      <c r="CAX3" s="84"/>
      <c r="CAY3" s="84"/>
      <c r="CAZ3" s="84"/>
      <c r="CBA3" s="84"/>
      <c r="CBB3" s="84"/>
      <c r="CBC3" s="84"/>
      <c r="CBD3" s="84"/>
      <c r="CBE3" s="84"/>
      <c r="CBF3" s="84"/>
      <c r="CBG3" s="84"/>
      <c r="CBH3" s="84"/>
      <c r="CBI3" s="84"/>
      <c r="CBJ3" s="84"/>
      <c r="CBK3" s="84"/>
      <c r="CBL3" s="84"/>
      <c r="CBM3" s="84"/>
      <c r="CBN3" s="84"/>
      <c r="CBO3" s="84"/>
      <c r="CBP3" s="84"/>
      <c r="CBQ3" s="84"/>
      <c r="CBR3" s="84"/>
      <c r="CBS3" s="84"/>
      <c r="CBT3" s="84"/>
      <c r="CBU3" s="84"/>
      <c r="CBV3" s="84"/>
      <c r="CBW3" s="84"/>
      <c r="CBX3" s="84"/>
      <c r="CBY3" s="84"/>
      <c r="CBZ3" s="84"/>
      <c r="CCA3" s="84"/>
      <c r="CCB3" s="84"/>
      <c r="CCC3" s="84"/>
      <c r="CCD3" s="84"/>
      <c r="CCE3" s="84"/>
      <c r="CCF3" s="84"/>
      <c r="CCG3" s="84"/>
      <c r="CCH3" s="84"/>
      <c r="CCI3" s="84"/>
      <c r="CCJ3" s="84"/>
      <c r="CCK3" s="84"/>
      <c r="CCL3" s="84"/>
      <c r="CCM3" s="84"/>
      <c r="CCN3" s="84"/>
      <c r="CCO3" s="84"/>
      <c r="CCP3" s="84"/>
      <c r="CCQ3" s="84"/>
      <c r="CCR3" s="84"/>
      <c r="CCS3" s="84"/>
      <c r="CCT3" s="84"/>
      <c r="CCU3" s="84"/>
      <c r="CCV3" s="84"/>
      <c r="CCW3" s="84"/>
      <c r="CCX3" s="84"/>
      <c r="CCY3" s="84"/>
      <c r="CCZ3" s="84"/>
      <c r="CDA3" s="84"/>
      <c r="CDB3" s="84"/>
      <c r="CDC3" s="84"/>
      <c r="CDD3" s="84"/>
      <c r="CDE3" s="84"/>
      <c r="CDF3" s="84"/>
      <c r="CDG3" s="84"/>
      <c r="CDH3" s="84"/>
      <c r="CDI3" s="84"/>
      <c r="CDJ3" s="84"/>
      <c r="CDK3" s="84"/>
      <c r="CDL3" s="84"/>
      <c r="CDM3" s="84"/>
      <c r="CDN3" s="84"/>
      <c r="CDO3" s="84"/>
      <c r="CDP3" s="84"/>
      <c r="CDQ3" s="84"/>
      <c r="CDR3" s="84"/>
      <c r="CDS3" s="84"/>
      <c r="CDT3" s="84"/>
      <c r="CDU3" s="84"/>
      <c r="CDV3" s="84"/>
      <c r="CDW3" s="84"/>
      <c r="CDX3" s="84"/>
      <c r="CDY3" s="84"/>
      <c r="CDZ3" s="84"/>
      <c r="CEA3" s="84"/>
      <c r="CEB3" s="84"/>
      <c r="CEC3" s="84"/>
      <c r="CED3" s="84"/>
      <c r="CEE3" s="84"/>
      <c r="CEF3" s="84"/>
      <c r="CEG3" s="84"/>
      <c r="CEH3" s="84"/>
      <c r="CEI3" s="84"/>
      <c r="CEJ3" s="84"/>
      <c r="CEK3" s="84"/>
      <c r="CEL3" s="84"/>
      <c r="CEM3" s="84"/>
      <c r="CEN3" s="84"/>
      <c r="CEO3" s="84"/>
      <c r="CEP3" s="84"/>
      <c r="CEQ3" s="84"/>
      <c r="CER3" s="84"/>
      <c r="CES3" s="84"/>
      <c r="CET3" s="84"/>
      <c r="CEU3" s="84"/>
      <c r="CEV3" s="84"/>
      <c r="CEW3" s="84"/>
      <c r="CEX3" s="84"/>
      <c r="CEY3" s="84"/>
      <c r="CEZ3" s="84"/>
      <c r="CFA3" s="84"/>
      <c r="CFB3" s="84"/>
      <c r="CFC3" s="84"/>
      <c r="CFD3" s="84"/>
      <c r="CFE3" s="84"/>
      <c r="CFF3" s="84"/>
      <c r="CFG3" s="84"/>
      <c r="CFH3" s="84"/>
      <c r="CFI3" s="84"/>
      <c r="CFJ3" s="84"/>
      <c r="CFK3" s="84"/>
      <c r="CFL3" s="84"/>
      <c r="CFM3" s="84"/>
      <c r="CFN3" s="84"/>
      <c r="CFO3" s="84"/>
      <c r="CFP3" s="84"/>
      <c r="CFQ3" s="84"/>
      <c r="CFR3" s="84"/>
      <c r="CFS3" s="84"/>
      <c r="CFT3" s="84"/>
      <c r="CFU3" s="84"/>
      <c r="CFV3" s="84"/>
      <c r="CFW3" s="84"/>
      <c r="CFX3" s="84"/>
      <c r="CFY3" s="84"/>
      <c r="CFZ3" s="84"/>
      <c r="CGA3" s="84"/>
      <c r="CGB3" s="84"/>
      <c r="CGC3" s="84"/>
      <c r="CGD3" s="84"/>
      <c r="CGE3" s="84"/>
      <c r="CGF3" s="84"/>
      <c r="CGG3" s="84"/>
      <c r="CGH3" s="84"/>
      <c r="CGI3" s="84"/>
      <c r="CGJ3" s="84"/>
      <c r="CGK3" s="84"/>
      <c r="CGL3" s="84"/>
      <c r="CGM3" s="84"/>
      <c r="CGN3" s="84"/>
      <c r="CGO3" s="84"/>
      <c r="CGP3" s="84"/>
      <c r="CGQ3" s="84"/>
      <c r="CGR3" s="84"/>
      <c r="CGS3" s="84"/>
      <c r="CGT3" s="84"/>
      <c r="CGU3" s="84"/>
      <c r="CGV3" s="84"/>
      <c r="CGW3" s="84"/>
      <c r="CGX3" s="84"/>
      <c r="CGY3" s="84"/>
      <c r="CGZ3" s="84"/>
      <c r="CHA3" s="84"/>
      <c r="CHB3" s="84"/>
      <c r="CHC3" s="84"/>
      <c r="CHD3" s="84"/>
      <c r="CHE3" s="84"/>
      <c r="CHF3" s="84"/>
      <c r="CHG3" s="84"/>
      <c r="CHH3" s="84"/>
      <c r="CHI3" s="84"/>
      <c r="CHJ3" s="84"/>
      <c r="CHK3" s="84"/>
      <c r="CHL3" s="84"/>
      <c r="CHM3" s="84"/>
      <c r="CHN3" s="84"/>
      <c r="CHO3" s="84"/>
      <c r="CHP3" s="84"/>
      <c r="CHQ3" s="84"/>
      <c r="CHR3" s="84"/>
      <c r="CHS3" s="84"/>
      <c r="CHT3" s="84"/>
      <c r="CHU3" s="84"/>
      <c r="CHV3" s="84"/>
      <c r="CHW3" s="84"/>
      <c r="CHX3" s="84"/>
      <c r="CHY3" s="84"/>
      <c r="CHZ3" s="84"/>
      <c r="CIA3" s="84"/>
      <c r="CIB3" s="84"/>
      <c r="CIC3" s="84"/>
      <c r="CID3" s="84"/>
      <c r="CIE3" s="84"/>
      <c r="CIF3" s="84"/>
      <c r="CIG3" s="84"/>
      <c r="CIH3" s="84"/>
      <c r="CII3" s="84"/>
      <c r="CIJ3" s="84"/>
      <c r="CIK3" s="84"/>
      <c r="CIL3" s="84"/>
      <c r="CIM3" s="84"/>
      <c r="CIN3" s="84"/>
      <c r="CIO3" s="84"/>
      <c r="CIP3" s="84"/>
      <c r="CIQ3" s="84"/>
      <c r="CIR3" s="84"/>
      <c r="CIS3" s="84"/>
      <c r="CIT3" s="84"/>
      <c r="CIU3" s="84"/>
      <c r="CIV3" s="84"/>
      <c r="CIW3" s="84"/>
      <c r="CIX3" s="84"/>
      <c r="CIY3" s="84"/>
      <c r="CIZ3" s="84"/>
      <c r="CJA3" s="84"/>
      <c r="CJB3" s="84"/>
      <c r="CJC3" s="84"/>
      <c r="CJD3" s="84"/>
      <c r="CJE3" s="84"/>
      <c r="CJF3" s="84"/>
      <c r="CJG3" s="84"/>
      <c r="CJH3" s="84"/>
      <c r="CJI3" s="84"/>
      <c r="CJJ3" s="84"/>
      <c r="CJK3" s="84"/>
      <c r="CJL3" s="84"/>
      <c r="CJM3" s="84"/>
      <c r="CJN3" s="84"/>
      <c r="CJO3" s="84"/>
      <c r="CJP3" s="84"/>
      <c r="CJQ3" s="84"/>
      <c r="CJR3" s="84"/>
      <c r="CJS3" s="84"/>
      <c r="CJT3" s="84"/>
      <c r="CJU3" s="84"/>
      <c r="CJV3" s="84"/>
      <c r="CJW3" s="84"/>
      <c r="CJX3" s="84"/>
      <c r="CJY3" s="84"/>
      <c r="CJZ3" s="84"/>
      <c r="CKA3" s="84"/>
      <c r="CKB3" s="84"/>
      <c r="CKC3" s="84"/>
      <c r="CKD3" s="84"/>
      <c r="CKE3" s="84"/>
      <c r="CKF3" s="84"/>
      <c r="CKG3" s="84"/>
      <c r="CKH3" s="84"/>
      <c r="CKI3" s="84"/>
      <c r="CKJ3" s="84"/>
      <c r="CKK3" s="84"/>
      <c r="CKL3" s="84"/>
      <c r="CKM3" s="84"/>
      <c r="CKN3" s="84"/>
      <c r="CKO3" s="84"/>
      <c r="CKP3" s="84"/>
      <c r="CKQ3" s="84"/>
      <c r="CKR3" s="84"/>
      <c r="CKS3" s="84"/>
      <c r="CKT3" s="84"/>
      <c r="CKU3" s="84"/>
      <c r="CKV3" s="84"/>
      <c r="CKW3" s="84"/>
      <c r="CKX3" s="84"/>
      <c r="CKY3" s="84"/>
      <c r="CKZ3" s="84"/>
      <c r="CLA3" s="84"/>
      <c r="CLB3" s="84"/>
      <c r="CLC3" s="84"/>
      <c r="CLD3" s="84"/>
      <c r="CLE3" s="84"/>
      <c r="CLF3" s="84"/>
      <c r="CLG3" s="84"/>
      <c r="CLH3" s="84"/>
      <c r="CLI3" s="84"/>
      <c r="CLJ3" s="84"/>
      <c r="CLK3" s="84"/>
      <c r="CLL3" s="84"/>
      <c r="CLM3" s="84"/>
      <c r="CLN3" s="84"/>
      <c r="CLO3" s="84"/>
      <c r="CLP3" s="84"/>
      <c r="CLQ3" s="84"/>
      <c r="CLR3" s="84"/>
      <c r="CLS3" s="84"/>
      <c r="CLT3" s="84"/>
      <c r="CLU3" s="84"/>
      <c r="CLV3" s="84"/>
      <c r="CLW3" s="84"/>
      <c r="CLX3" s="84"/>
      <c r="CLY3" s="84"/>
      <c r="CLZ3" s="84"/>
      <c r="CMA3" s="84"/>
      <c r="CMB3" s="84"/>
      <c r="CMC3" s="84"/>
      <c r="CMD3" s="84"/>
      <c r="CME3" s="84"/>
      <c r="CMF3" s="84"/>
      <c r="CMG3" s="84"/>
      <c r="CMH3" s="84"/>
      <c r="CMI3" s="84"/>
      <c r="CMJ3" s="84"/>
      <c r="CMK3" s="84"/>
      <c r="CML3" s="84"/>
      <c r="CMM3" s="84"/>
      <c r="CMN3" s="84"/>
      <c r="CMO3" s="84"/>
      <c r="CMP3" s="84"/>
      <c r="CMQ3" s="84"/>
      <c r="CMR3" s="84"/>
      <c r="CMS3" s="84"/>
      <c r="CMT3" s="84"/>
      <c r="CMU3" s="84"/>
      <c r="CMV3" s="84"/>
      <c r="CMW3" s="84"/>
      <c r="CMX3" s="84"/>
      <c r="CMY3" s="84"/>
      <c r="CMZ3" s="84"/>
      <c r="CNA3" s="84"/>
      <c r="CNB3" s="84"/>
      <c r="CNC3" s="84"/>
      <c r="CND3" s="84"/>
      <c r="CNE3" s="84"/>
      <c r="CNF3" s="84"/>
      <c r="CNG3" s="84"/>
      <c r="CNH3" s="84"/>
      <c r="CNI3" s="84"/>
      <c r="CNJ3" s="84"/>
      <c r="CNK3" s="84"/>
      <c r="CNL3" s="84"/>
      <c r="CNM3" s="84"/>
      <c r="CNN3" s="84"/>
      <c r="CNO3" s="84"/>
      <c r="CNP3" s="84"/>
      <c r="CNQ3" s="84"/>
      <c r="CNR3" s="84"/>
      <c r="CNS3" s="84"/>
      <c r="CNT3" s="84"/>
      <c r="CNU3" s="84"/>
      <c r="CNV3" s="84"/>
      <c r="CNW3" s="84"/>
      <c r="CNX3" s="84"/>
      <c r="CNY3" s="84"/>
      <c r="CNZ3" s="84"/>
      <c r="COA3" s="84"/>
      <c r="COB3" s="84"/>
      <c r="COC3" s="84"/>
      <c r="COD3" s="84"/>
      <c r="COE3" s="84"/>
      <c r="COF3" s="84"/>
      <c r="COG3" s="84"/>
      <c r="COH3" s="84"/>
      <c r="COI3" s="84"/>
      <c r="COJ3" s="84"/>
      <c r="COK3" s="84"/>
      <c r="COL3" s="84"/>
      <c r="COM3" s="84"/>
      <c r="CON3" s="84"/>
      <c r="COO3" s="84"/>
      <c r="COP3" s="84"/>
      <c r="COQ3" s="84"/>
      <c r="COR3" s="84"/>
      <c r="COS3" s="84"/>
      <c r="COT3" s="84"/>
      <c r="COU3" s="84"/>
      <c r="COV3" s="84"/>
      <c r="COW3" s="84"/>
      <c r="COX3" s="84"/>
      <c r="COY3" s="84"/>
      <c r="COZ3" s="84"/>
      <c r="CPA3" s="84"/>
      <c r="CPB3" s="84"/>
      <c r="CPC3" s="84"/>
      <c r="CPD3" s="84"/>
      <c r="CPE3" s="84"/>
      <c r="CPF3" s="84"/>
      <c r="CPG3" s="84"/>
      <c r="CPH3" s="84"/>
      <c r="CPI3" s="84"/>
      <c r="CPJ3" s="84"/>
      <c r="CPK3" s="84"/>
      <c r="CPL3" s="84"/>
      <c r="CPM3" s="84"/>
      <c r="CPN3" s="84"/>
      <c r="CPO3" s="84"/>
      <c r="CPP3" s="84"/>
      <c r="CPQ3" s="84"/>
      <c r="CPR3" s="84"/>
      <c r="CPS3" s="84"/>
      <c r="CPT3" s="84"/>
      <c r="CPU3" s="84"/>
      <c r="CPV3" s="84"/>
      <c r="CPW3" s="84"/>
      <c r="CPX3" s="84"/>
      <c r="CPY3" s="84"/>
      <c r="CPZ3" s="84"/>
      <c r="CQA3" s="84"/>
      <c r="CQB3" s="84"/>
      <c r="CQC3" s="84"/>
      <c r="CQD3" s="84"/>
      <c r="CQE3" s="84"/>
      <c r="CQF3" s="84"/>
      <c r="CQG3" s="84"/>
      <c r="CQH3" s="84"/>
      <c r="CQI3" s="84"/>
      <c r="CQJ3" s="84"/>
      <c r="CQK3" s="84"/>
      <c r="CQL3" s="84"/>
      <c r="CQM3" s="84"/>
      <c r="CQN3" s="84"/>
      <c r="CQO3" s="84"/>
      <c r="CQP3" s="84"/>
      <c r="CQQ3" s="84"/>
      <c r="CQR3" s="84"/>
      <c r="CQS3" s="84"/>
      <c r="CQT3" s="84"/>
      <c r="CQU3" s="84"/>
      <c r="CQV3" s="84"/>
      <c r="CQW3" s="84"/>
      <c r="CQX3" s="84"/>
      <c r="CQY3" s="84"/>
      <c r="CQZ3" s="84"/>
      <c r="CRA3" s="84"/>
      <c r="CRB3" s="84"/>
      <c r="CRC3" s="84"/>
      <c r="CRD3" s="84"/>
      <c r="CRE3" s="84"/>
      <c r="CRF3" s="84"/>
      <c r="CRG3" s="84"/>
      <c r="CRH3" s="84"/>
      <c r="CRI3" s="84"/>
      <c r="CRJ3" s="84"/>
      <c r="CRK3" s="84"/>
      <c r="CRL3" s="84"/>
      <c r="CRM3" s="84"/>
      <c r="CRN3" s="84"/>
      <c r="CRO3" s="84"/>
      <c r="CRP3" s="84"/>
      <c r="CRQ3" s="84"/>
      <c r="CRR3" s="84"/>
      <c r="CRS3" s="84"/>
      <c r="CRT3" s="84"/>
      <c r="CRU3" s="84"/>
      <c r="CRV3" s="84"/>
      <c r="CRW3" s="84"/>
      <c r="CRX3" s="84"/>
      <c r="CRY3" s="84"/>
      <c r="CRZ3" s="84"/>
      <c r="CSA3" s="84"/>
      <c r="CSB3" s="84"/>
      <c r="CSC3" s="84"/>
      <c r="CSD3" s="84"/>
      <c r="CSE3" s="84"/>
      <c r="CSF3" s="84"/>
      <c r="CSG3" s="84"/>
      <c r="CSH3" s="84"/>
      <c r="CSI3" s="84"/>
      <c r="CSJ3" s="84"/>
      <c r="CSK3" s="84"/>
      <c r="CSL3" s="84"/>
      <c r="CSM3" s="84"/>
      <c r="CSN3" s="84"/>
      <c r="CSO3" s="84"/>
      <c r="CSP3" s="84"/>
      <c r="CSQ3" s="84"/>
      <c r="CSR3" s="84"/>
      <c r="CSS3" s="84"/>
      <c r="CST3" s="84"/>
      <c r="CSU3" s="84"/>
      <c r="CSV3" s="84"/>
      <c r="CSW3" s="84"/>
      <c r="CSX3" s="84"/>
      <c r="CSY3" s="84"/>
      <c r="CSZ3" s="84"/>
      <c r="CTA3" s="84"/>
      <c r="CTB3" s="84"/>
      <c r="CTC3" s="84"/>
      <c r="CTD3" s="84"/>
      <c r="CTE3" s="84"/>
      <c r="CTF3" s="84"/>
      <c r="CTG3" s="84"/>
      <c r="CTH3" s="84"/>
      <c r="CTI3" s="84"/>
      <c r="CTJ3" s="84"/>
      <c r="CTK3" s="84"/>
      <c r="CTL3" s="84"/>
      <c r="CTM3" s="84"/>
      <c r="CTN3" s="84"/>
      <c r="CTO3" s="84"/>
      <c r="CTP3" s="84"/>
      <c r="CTQ3" s="84"/>
      <c r="CTR3" s="84"/>
      <c r="CTS3" s="84"/>
      <c r="CTT3" s="84"/>
      <c r="CTU3" s="84"/>
      <c r="CTV3" s="84"/>
      <c r="CTW3" s="84"/>
      <c r="CTX3" s="84"/>
      <c r="CTY3" s="84"/>
      <c r="CTZ3" s="84"/>
      <c r="CUA3" s="84"/>
      <c r="CUB3" s="84"/>
      <c r="CUC3" s="84"/>
      <c r="CUD3" s="84"/>
      <c r="CUE3" s="84"/>
      <c r="CUF3" s="84"/>
      <c r="CUG3" s="84"/>
      <c r="CUH3" s="84"/>
      <c r="CUI3" s="84"/>
      <c r="CUJ3" s="84"/>
      <c r="CUK3" s="84"/>
      <c r="CUL3" s="84"/>
      <c r="CUM3" s="84"/>
      <c r="CUN3" s="84"/>
      <c r="CUO3" s="84"/>
      <c r="CUP3" s="84"/>
      <c r="CUQ3" s="84"/>
      <c r="CUR3" s="84"/>
      <c r="CUS3" s="84"/>
      <c r="CUT3" s="84"/>
      <c r="CUU3" s="84"/>
      <c r="CUV3" s="84"/>
      <c r="CUW3" s="84"/>
      <c r="CUX3" s="84"/>
      <c r="CUY3" s="84"/>
      <c r="CUZ3" s="84"/>
      <c r="CVA3" s="84"/>
      <c r="CVB3" s="84"/>
      <c r="CVC3" s="84"/>
      <c r="CVD3" s="84"/>
      <c r="CVE3" s="84"/>
      <c r="CVF3" s="84"/>
      <c r="CVG3" s="84"/>
      <c r="CVH3" s="84"/>
      <c r="CVI3" s="84"/>
      <c r="CVJ3" s="84"/>
      <c r="CVK3" s="84"/>
      <c r="CVL3" s="84"/>
      <c r="CVM3" s="84"/>
      <c r="CVN3" s="84"/>
      <c r="CVO3" s="84"/>
      <c r="CVP3" s="84"/>
      <c r="CVQ3" s="84"/>
      <c r="CVR3" s="84"/>
      <c r="CVS3" s="84"/>
      <c r="CVT3" s="84"/>
      <c r="CVU3" s="84"/>
      <c r="CVV3" s="84"/>
      <c r="CVW3" s="84"/>
      <c r="CVX3" s="84"/>
      <c r="CVY3" s="84"/>
      <c r="CVZ3" s="84"/>
      <c r="CWA3" s="84"/>
      <c r="CWB3" s="84"/>
      <c r="CWC3" s="84"/>
      <c r="CWD3" s="84"/>
      <c r="CWE3" s="84"/>
      <c r="CWF3" s="84"/>
      <c r="CWG3" s="84"/>
      <c r="CWH3" s="84"/>
      <c r="CWI3" s="84"/>
      <c r="CWJ3" s="84"/>
      <c r="CWK3" s="84"/>
      <c r="CWL3" s="84"/>
      <c r="CWM3" s="84"/>
      <c r="CWN3" s="84"/>
      <c r="CWO3" s="84"/>
      <c r="CWP3" s="84"/>
      <c r="CWQ3" s="84"/>
      <c r="CWR3" s="84"/>
      <c r="CWS3" s="84"/>
      <c r="CWT3" s="84"/>
      <c r="CWU3" s="84"/>
      <c r="CWV3" s="84"/>
      <c r="CWW3" s="84"/>
      <c r="CWX3" s="84"/>
      <c r="CWY3" s="84"/>
      <c r="CWZ3" s="84"/>
      <c r="CXA3" s="84"/>
      <c r="CXB3" s="84"/>
      <c r="CXC3" s="84"/>
      <c r="CXD3" s="84"/>
      <c r="CXE3" s="84"/>
      <c r="CXF3" s="84"/>
      <c r="CXG3" s="84"/>
      <c r="CXH3" s="84"/>
      <c r="CXI3" s="84"/>
      <c r="CXJ3" s="84"/>
      <c r="CXK3" s="84"/>
      <c r="CXL3" s="84"/>
      <c r="CXM3" s="84"/>
      <c r="CXN3" s="84"/>
      <c r="CXO3" s="84"/>
      <c r="CXP3" s="84"/>
      <c r="CXQ3" s="84"/>
      <c r="CXR3" s="84"/>
      <c r="CXS3" s="84"/>
      <c r="CXT3" s="84"/>
      <c r="CXU3" s="84"/>
      <c r="CXV3" s="84"/>
      <c r="CXW3" s="84"/>
      <c r="CXX3" s="84"/>
      <c r="CXY3" s="84"/>
      <c r="CXZ3" s="84"/>
      <c r="CYA3" s="84"/>
      <c r="CYB3" s="84"/>
      <c r="CYC3" s="84"/>
      <c r="CYD3" s="84"/>
      <c r="CYE3" s="84"/>
      <c r="CYF3" s="84"/>
      <c r="CYG3" s="84"/>
      <c r="CYH3" s="84"/>
      <c r="CYI3" s="84"/>
      <c r="CYJ3" s="84"/>
      <c r="CYK3" s="84"/>
      <c r="CYL3" s="84"/>
      <c r="CYM3" s="84"/>
      <c r="CYN3" s="84"/>
      <c r="CYO3" s="84"/>
      <c r="CYP3" s="84"/>
      <c r="CYQ3" s="84"/>
      <c r="CYR3" s="84"/>
      <c r="CYS3" s="84"/>
      <c r="CYT3" s="84"/>
      <c r="CYU3" s="84"/>
      <c r="CYV3" s="84"/>
      <c r="CYW3" s="84"/>
      <c r="CYX3" s="84"/>
      <c r="CYY3" s="84"/>
      <c r="CYZ3" s="84"/>
      <c r="CZA3" s="84"/>
      <c r="CZB3" s="84"/>
      <c r="CZC3" s="84"/>
      <c r="CZD3" s="84"/>
      <c r="CZE3" s="84"/>
      <c r="CZF3" s="84"/>
      <c r="CZG3" s="84"/>
      <c r="CZH3" s="84"/>
      <c r="CZI3" s="84"/>
      <c r="CZJ3" s="84"/>
      <c r="CZK3" s="84"/>
      <c r="CZL3" s="84"/>
      <c r="CZM3" s="84"/>
      <c r="CZN3" s="84"/>
      <c r="CZO3" s="84"/>
      <c r="CZP3" s="84"/>
      <c r="CZQ3" s="84"/>
      <c r="CZR3" s="84"/>
      <c r="CZS3" s="84"/>
      <c r="CZT3" s="84"/>
      <c r="CZU3" s="84"/>
      <c r="CZV3" s="84"/>
      <c r="CZW3" s="84"/>
      <c r="CZX3" s="84"/>
      <c r="CZY3" s="84"/>
      <c r="CZZ3" s="84"/>
      <c r="DAA3" s="84"/>
      <c r="DAB3" s="84"/>
      <c r="DAC3" s="84"/>
      <c r="DAD3" s="84"/>
      <c r="DAE3" s="84"/>
      <c r="DAF3" s="84"/>
      <c r="DAG3" s="84"/>
      <c r="DAH3" s="84"/>
      <c r="DAI3" s="84"/>
      <c r="DAJ3" s="84"/>
      <c r="DAK3" s="84"/>
      <c r="DAL3" s="84"/>
      <c r="DAM3" s="84"/>
      <c r="DAN3" s="84"/>
      <c r="DAO3" s="84"/>
      <c r="DAP3" s="84"/>
      <c r="DAQ3" s="84"/>
      <c r="DAR3" s="84"/>
      <c r="DAS3" s="84"/>
      <c r="DAT3" s="84"/>
      <c r="DAU3" s="84"/>
      <c r="DAV3" s="84"/>
      <c r="DAW3" s="84"/>
      <c r="DAX3" s="84"/>
      <c r="DAY3" s="84"/>
      <c r="DAZ3" s="84"/>
      <c r="DBA3" s="84"/>
      <c r="DBB3" s="84"/>
      <c r="DBC3" s="84"/>
      <c r="DBD3" s="84"/>
      <c r="DBE3" s="84"/>
      <c r="DBF3" s="84"/>
      <c r="DBG3" s="84"/>
      <c r="DBH3" s="84"/>
      <c r="DBI3" s="84"/>
      <c r="DBJ3" s="84"/>
      <c r="DBK3" s="84"/>
      <c r="DBL3" s="84"/>
      <c r="DBM3" s="84"/>
      <c r="DBN3" s="84"/>
      <c r="DBO3" s="84"/>
      <c r="DBP3" s="84"/>
      <c r="DBQ3" s="84"/>
      <c r="DBR3" s="84"/>
      <c r="DBS3" s="84"/>
      <c r="DBT3" s="84"/>
      <c r="DBU3" s="84"/>
      <c r="DBV3" s="84"/>
      <c r="DBW3" s="84"/>
      <c r="DBX3" s="84"/>
      <c r="DBY3" s="84"/>
      <c r="DBZ3" s="84"/>
      <c r="DCA3" s="84"/>
      <c r="DCB3" s="84"/>
      <c r="DCC3" s="84"/>
      <c r="DCD3" s="84"/>
      <c r="DCE3" s="84"/>
      <c r="DCF3" s="84"/>
      <c r="DCG3" s="84"/>
      <c r="DCH3" s="84"/>
      <c r="DCI3" s="84"/>
      <c r="DCJ3" s="84"/>
      <c r="DCK3" s="84"/>
      <c r="DCL3" s="84"/>
      <c r="DCM3" s="84"/>
      <c r="DCN3" s="84"/>
      <c r="DCO3" s="84"/>
      <c r="DCP3" s="84"/>
      <c r="DCQ3" s="84"/>
      <c r="DCR3" s="84"/>
      <c r="DCS3" s="84"/>
      <c r="DCT3" s="84"/>
      <c r="DCU3" s="84"/>
      <c r="DCV3" s="84"/>
      <c r="DCW3" s="84"/>
      <c r="DCX3" s="84"/>
      <c r="DCY3" s="84"/>
      <c r="DCZ3" s="84"/>
      <c r="DDA3" s="84"/>
      <c r="DDB3" s="84"/>
      <c r="DDC3" s="84"/>
      <c r="DDD3" s="84"/>
      <c r="DDE3" s="84"/>
      <c r="DDF3" s="84"/>
      <c r="DDG3" s="84"/>
      <c r="DDH3" s="84"/>
      <c r="DDI3" s="84"/>
      <c r="DDJ3" s="84"/>
      <c r="DDK3" s="84"/>
      <c r="DDL3" s="84"/>
      <c r="DDM3" s="84"/>
      <c r="DDN3" s="84"/>
      <c r="DDO3" s="84"/>
      <c r="DDP3" s="84"/>
      <c r="DDQ3" s="84"/>
      <c r="DDR3" s="84"/>
      <c r="DDS3" s="84"/>
      <c r="DDT3" s="84"/>
      <c r="DDU3" s="84"/>
      <c r="DDV3" s="84"/>
      <c r="DDW3" s="84"/>
      <c r="DDX3" s="84"/>
      <c r="DDY3" s="84"/>
      <c r="DDZ3" s="84"/>
      <c r="DEA3" s="84"/>
      <c r="DEB3" s="84"/>
      <c r="DEC3" s="84"/>
      <c r="DED3" s="84"/>
      <c r="DEE3" s="84"/>
      <c r="DEF3" s="84"/>
      <c r="DEG3" s="84"/>
      <c r="DEH3" s="84"/>
      <c r="DEI3" s="84"/>
      <c r="DEJ3" s="84"/>
      <c r="DEK3" s="84"/>
      <c r="DEL3" s="84"/>
      <c r="DEM3" s="84"/>
      <c r="DEN3" s="84"/>
      <c r="DEO3" s="84"/>
      <c r="DEP3" s="84"/>
      <c r="DEQ3" s="84"/>
      <c r="DER3" s="84"/>
      <c r="DES3" s="84"/>
      <c r="DET3" s="84"/>
      <c r="DEU3" s="84"/>
      <c r="DEV3" s="84"/>
      <c r="DEW3" s="84"/>
      <c r="DEX3" s="84"/>
      <c r="DEY3" s="84"/>
      <c r="DEZ3" s="84"/>
      <c r="DFA3" s="84"/>
      <c r="DFB3" s="84"/>
      <c r="DFC3" s="84"/>
      <c r="DFD3" s="84"/>
      <c r="DFE3" s="84"/>
      <c r="DFF3" s="84"/>
      <c r="DFG3" s="84"/>
      <c r="DFH3" s="84"/>
      <c r="DFI3" s="84"/>
      <c r="DFJ3" s="84"/>
      <c r="DFK3" s="84"/>
      <c r="DFL3" s="84"/>
      <c r="DFM3" s="84"/>
      <c r="DFN3" s="84"/>
      <c r="DFO3" s="84"/>
      <c r="DFP3" s="84"/>
      <c r="DFQ3" s="84"/>
      <c r="DFR3" s="84"/>
      <c r="DFS3" s="84"/>
      <c r="DFT3" s="84"/>
      <c r="DFU3" s="84"/>
      <c r="DFV3" s="84"/>
      <c r="DFW3" s="84"/>
      <c r="DFX3" s="84"/>
      <c r="DFY3" s="84"/>
      <c r="DFZ3" s="84"/>
      <c r="DGA3" s="84"/>
      <c r="DGB3" s="84"/>
      <c r="DGC3" s="84"/>
      <c r="DGD3" s="84"/>
      <c r="DGE3" s="84"/>
      <c r="DGF3" s="84"/>
      <c r="DGG3" s="84"/>
      <c r="DGH3" s="84"/>
      <c r="DGI3" s="84"/>
      <c r="DGJ3" s="84"/>
      <c r="DGK3" s="84"/>
      <c r="DGL3" s="84"/>
      <c r="DGM3" s="84"/>
      <c r="DGN3" s="84"/>
      <c r="DGO3" s="84"/>
      <c r="DGP3" s="84"/>
      <c r="DGQ3" s="84"/>
      <c r="DGR3" s="84"/>
      <c r="DGS3" s="84"/>
      <c r="DGT3" s="84"/>
      <c r="DGU3" s="84"/>
      <c r="DGV3" s="84"/>
      <c r="DGW3" s="84"/>
      <c r="DGX3" s="84"/>
      <c r="DGY3" s="84"/>
      <c r="DGZ3" s="84"/>
      <c r="DHA3" s="84"/>
      <c r="DHB3" s="84"/>
      <c r="DHC3" s="84"/>
      <c r="DHD3" s="84"/>
      <c r="DHE3" s="84"/>
      <c r="DHF3" s="84"/>
      <c r="DHG3" s="84"/>
      <c r="DHH3" s="84"/>
      <c r="DHI3" s="84"/>
      <c r="DHJ3" s="84"/>
      <c r="DHK3" s="84"/>
      <c r="DHL3" s="84"/>
      <c r="DHM3" s="84"/>
      <c r="DHN3" s="84"/>
      <c r="DHO3" s="84"/>
      <c r="DHP3" s="84"/>
      <c r="DHQ3" s="84"/>
      <c r="DHR3" s="84"/>
      <c r="DHS3" s="84"/>
      <c r="DHT3" s="84"/>
      <c r="DHU3" s="84"/>
      <c r="DHV3" s="84"/>
      <c r="DHW3" s="84"/>
      <c r="DHX3" s="84"/>
      <c r="DHY3" s="84"/>
      <c r="DHZ3" s="84"/>
      <c r="DIA3" s="84"/>
      <c r="DIB3" s="84"/>
      <c r="DIC3" s="84"/>
      <c r="DID3" s="84"/>
      <c r="DIE3" s="84"/>
      <c r="DIF3" s="84"/>
      <c r="DIG3" s="84"/>
      <c r="DIH3" s="84"/>
      <c r="DII3" s="84"/>
      <c r="DIJ3" s="84"/>
      <c r="DIK3" s="84"/>
      <c r="DIL3" s="84"/>
      <c r="DIM3" s="84"/>
      <c r="DIN3" s="84"/>
      <c r="DIO3" s="84"/>
      <c r="DIP3" s="84"/>
      <c r="DIQ3" s="84"/>
      <c r="DIR3" s="84"/>
      <c r="DIS3" s="84"/>
      <c r="DIT3" s="84"/>
      <c r="DIU3" s="84"/>
      <c r="DIV3" s="84"/>
      <c r="DIW3" s="84"/>
      <c r="DIX3" s="84"/>
      <c r="DIY3" s="84"/>
      <c r="DIZ3" s="84"/>
      <c r="DJA3" s="84"/>
      <c r="DJB3" s="84"/>
      <c r="DJC3" s="84"/>
      <c r="DJD3" s="84"/>
      <c r="DJE3" s="84"/>
      <c r="DJF3" s="84"/>
      <c r="DJG3" s="84"/>
      <c r="DJH3" s="84"/>
      <c r="DJI3" s="84"/>
      <c r="DJJ3" s="84"/>
      <c r="DJK3" s="84"/>
      <c r="DJL3" s="84"/>
      <c r="DJM3" s="84"/>
      <c r="DJN3" s="84"/>
      <c r="DJO3" s="84"/>
      <c r="DJP3" s="84"/>
      <c r="DJQ3" s="84"/>
      <c r="DJR3" s="84"/>
      <c r="DJS3" s="84"/>
      <c r="DJT3" s="84"/>
      <c r="DJU3" s="84"/>
      <c r="DJV3" s="84"/>
      <c r="DJW3" s="84"/>
      <c r="DJX3" s="84"/>
      <c r="DJY3" s="84"/>
      <c r="DJZ3" s="84"/>
      <c r="DKA3" s="84"/>
      <c r="DKB3" s="84"/>
      <c r="DKC3" s="84"/>
      <c r="DKD3" s="84"/>
      <c r="DKE3" s="84"/>
      <c r="DKF3" s="84"/>
      <c r="DKG3" s="84"/>
      <c r="DKH3" s="84"/>
      <c r="DKI3" s="84"/>
      <c r="DKJ3" s="84"/>
      <c r="DKK3" s="84"/>
      <c r="DKL3" s="84"/>
      <c r="DKM3" s="84"/>
      <c r="DKN3" s="84"/>
      <c r="DKO3" s="84"/>
      <c r="DKP3" s="84"/>
      <c r="DKQ3" s="84"/>
      <c r="DKR3" s="84"/>
      <c r="DKS3" s="84"/>
      <c r="DKT3" s="84"/>
      <c r="DKU3" s="84"/>
      <c r="DKV3" s="84"/>
      <c r="DKW3" s="84"/>
      <c r="DKX3" s="84"/>
      <c r="DKY3" s="84"/>
      <c r="DKZ3" s="84"/>
      <c r="DLA3" s="84"/>
      <c r="DLB3" s="84"/>
      <c r="DLC3" s="84"/>
      <c r="DLD3" s="84"/>
      <c r="DLE3" s="84"/>
      <c r="DLF3" s="84"/>
      <c r="DLG3" s="84"/>
      <c r="DLH3" s="84"/>
      <c r="DLI3" s="84"/>
      <c r="DLJ3" s="84"/>
      <c r="DLK3" s="84"/>
      <c r="DLL3" s="84"/>
      <c r="DLM3" s="84"/>
      <c r="DLN3" s="84"/>
      <c r="DLO3" s="84"/>
      <c r="DLP3" s="84"/>
      <c r="DLQ3" s="84"/>
      <c r="DLR3" s="84"/>
      <c r="DLS3" s="84"/>
      <c r="DLT3" s="84"/>
      <c r="DLU3" s="84"/>
      <c r="DLV3" s="84"/>
      <c r="DLW3" s="84"/>
      <c r="DLX3" s="84"/>
      <c r="DLY3" s="84"/>
      <c r="DLZ3" s="84"/>
      <c r="DMA3" s="84"/>
      <c r="DMB3" s="84"/>
      <c r="DMC3" s="84"/>
      <c r="DMD3" s="84"/>
      <c r="DME3" s="84"/>
      <c r="DMF3" s="84"/>
      <c r="DMG3" s="84"/>
      <c r="DMH3" s="84"/>
      <c r="DMI3" s="84"/>
      <c r="DMJ3" s="84"/>
      <c r="DMK3" s="84"/>
      <c r="DML3" s="84"/>
      <c r="DMM3" s="84"/>
      <c r="DMN3" s="84"/>
      <c r="DMO3" s="84"/>
      <c r="DMP3" s="84"/>
      <c r="DMQ3" s="84"/>
      <c r="DMR3" s="84"/>
      <c r="DMS3" s="84"/>
      <c r="DMT3" s="84"/>
      <c r="DMU3" s="84"/>
      <c r="DMV3" s="84"/>
      <c r="DMW3" s="84"/>
      <c r="DMX3" s="84"/>
      <c r="DMY3" s="84"/>
      <c r="DMZ3" s="84"/>
      <c r="DNA3" s="84"/>
      <c r="DNB3" s="84"/>
      <c r="DNC3" s="84"/>
      <c r="DND3" s="84"/>
      <c r="DNE3" s="84"/>
      <c r="DNF3" s="84"/>
      <c r="DNG3" s="84"/>
      <c r="DNH3" s="84"/>
      <c r="DNI3" s="84"/>
      <c r="DNJ3" s="84"/>
      <c r="DNK3" s="84"/>
      <c r="DNL3" s="84"/>
      <c r="DNM3" s="84"/>
      <c r="DNN3" s="84"/>
      <c r="DNO3" s="84"/>
      <c r="DNP3" s="84"/>
      <c r="DNQ3" s="84"/>
      <c r="DNR3" s="84"/>
      <c r="DNS3" s="84"/>
      <c r="DNT3" s="84"/>
      <c r="DNU3" s="84"/>
      <c r="DNV3" s="84"/>
      <c r="DNW3" s="84"/>
      <c r="DNX3" s="84"/>
      <c r="DNY3" s="84"/>
      <c r="DNZ3" s="84"/>
      <c r="DOA3" s="84"/>
      <c r="DOB3" s="84"/>
      <c r="DOC3" s="84"/>
      <c r="DOD3" s="84"/>
      <c r="DOE3" s="84"/>
      <c r="DOF3" s="84"/>
      <c r="DOG3" s="84"/>
      <c r="DOH3" s="84"/>
      <c r="DOI3" s="84"/>
      <c r="DOJ3" s="84"/>
      <c r="DOK3" s="84"/>
      <c r="DOL3" s="84"/>
      <c r="DOM3" s="84"/>
      <c r="DON3" s="84"/>
      <c r="DOO3" s="84"/>
      <c r="DOP3" s="84"/>
      <c r="DOQ3" s="84"/>
      <c r="DOR3" s="84"/>
      <c r="DOS3" s="84"/>
      <c r="DOT3" s="84"/>
      <c r="DOU3" s="84"/>
      <c r="DOV3" s="84"/>
      <c r="DOW3" s="84"/>
      <c r="DOX3" s="84"/>
      <c r="DOY3" s="84"/>
      <c r="DOZ3" s="84"/>
      <c r="DPA3" s="84"/>
      <c r="DPB3" s="84"/>
      <c r="DPC3" s="84"/>
      <c r="DPD3" s="84"/>
      <c r="DPE3" s="84"/>
      <c r="DPF3" s="84"/>
      <c r="DPG3" s="84"/>
      <c r="DPH3" s="84"/>
      <c r="DPI3" s="84"/>
      <c r="DPJ3" s="84"/>
      <c r="DPK3" s="84"/>
      <c r="DPL3" s="84"/>
      <c r="DPM3" s="84"/>
      <c r="DPN3" s="84"/>
      <c r="DPO3" s="84"/>
      <c r="DPP3" s="84"/>
      <c r="DPQ3" s="84"/>
      <c r="DPR3" s="84"/>
      <c r="DPS3" s="84"/>
      <c r="DPT3" s="84"/>
      <c r="DPU3" s="84"/>
      <c r="DPV3" s="84"/>
      <c r="DPW3" s="84"/>
      <c r="DPX3" s="84"/>
      <c r="DPY3" s="84"/>
      <c r="DPZ3" s="84"/>
      <c r="DQA3" s="84"/>
      <c r="DQB3" s="84"/>
      <c r="DQC3" s="84"/>
      <c r="DQD3" s="84"/>
      <c r="DQE3" s="84"/>
      <c r="DQF3" s="84"/>
      <c r="DQG3" s="84"/>
      <c r="DQH3" s="84"/>
      <c r="DQI3" s="84"/>
      <c r="DQJ3" s="84"/>
      <c r="DQK3" s="84"/>
      <c r="DQL3" s="84"/>
      <c r="DQM3" s="84"/>
      <c r="DQN3" s="84"/>
      <c r="DQO3" s="84"/>
      <c r="DQP3" s="84"/>
      <c r="DQQ3" s="84"/>
      <c r="DQR3" s="84"/>
      <c r="DQS3" s="84"/>
      <c r="DQT3" s="84"/>
      <c r="DQU3" s="84"/>
      <c r="DQV3" s="84"/>
      <c r="DQW3" s="84"/>
      <c r="DQX3" s="84"/>
      <c r="DQY3" s="84"/>
      <c r="DQZ3" s="84"/>
      <c r="DRA3" s="84"/>
      <c r="DRB3" s="84"/>
      <c r="DRC3" s="84"/>
      <c r="DRD3" s="84"/>
      <c r="DRE3" s="84"/>
      <c r="DRF3" s="84"/>
      <c r="DRG3" s="84"/>
      <c r="DRH3" s="84"/>
      <c r="DRI3" s="84"/>
      <c r="DRJ3" s="84"/>
      <c r="DRK3" s="84"/>
      <c r="DRL3" s="84"/>
      <c r="DRM3" s="84"/>
      <c r="DRN3" s="84"/>
      <c r="DRO3" s="84"/>
      <c r="DRP3" s="84"/>
      <c r="DRQ3" s="84"/>
      <c r="DRR3" s="84"/>
      <c r="DRS3" s="84"/>
      <c r="DRT3" s="84"/>
      <c r="DRU3" s="84"/>
      <c r="DRV3" s="84"/>
      <c r="DRW3" s="84"/>
      <c r="DRX3" s="84"/>
      <c r="DRY3" s="84"/>
      <c r="DRZ3" s="84"/>
      <c r="DSA3" s="84"/>
      <c r="DSB3" s="84"/>
      <c r="DSC3" s="84"/>
      <c r="DSD3" s="84"/>
      <c r="DSE3" s="84"/>
      <c r="DSF3" s="84"/>
      <c r="DSG3" s="84"/>
      <c r="DSH3" s="84"/>
      <c r="DSI3" s="84"/>
      <c r="DSJ3" s="84"/>
      <c r="DSK3" s="84"/>
      <c r="DSL3" s="84"/>
      <c r="DSM3" s="84"/>
      <c r="DSN3" s="84"/>
      <c r="DSO3" s="84"/>
      <c r="DSP3" s="84"/>
      <c r="DSQ3" s="84"/>
      <c r="DSR3" s="84"/>
      <c r="DSS3" s="84"/>
      <c r="DST3" s="84"/>
      <c r="DSU3" s="84"/>
      <c r="DSV3" s="84"/>
      <c r="DSW3" s="84"/>
      <c r="DSX3" s="84"/>
      <c r="DSY3" s="84"/>
      <c r="DSZ3" s="84"/>
      <c r="DTA3" s="84"/>
      <c r="DTB3" s="84"/>
      <c r="DTC3" s="84"/>
      <c r="DTD3" s="84"/>
      <c r="DTE3" s="84"/>
      <c r="DTF3" s="84"/>
      <c r="DTG3" s="84"/>
      <c r="DTH3" s="84"/>
      <c r="DTI3" s="84"/>
      <c r="DTJ3" s="84"/>
      <c r="DTK3" s="84"/>
      <c r="DTL3" s="84"/>
      <c r="DTM3" s="84"/>
      <c r="DTN3" s="84"/>
      <c r="DTO3" s="84"/>
      <c r="DTP3" s="84"/>
      <c r="DTQ3" s="84"/>
      <c r="DTR3" s="84"/>
      <c r="DTS3" s="84"/>
      <c r="DTT3" s="84"/>
      <c r="DTU3" s="84"/>
      <c r="DTV3" s="84"/>
      <c r="DTW3" s="84"/>
      <c r="DTX3" s="84"/>
      <c r="DTY3" s="84"/>
      <c r="DTZ3" s="84"/>
      <c r="DUA3" s="84"/>
      <c r="DUB3" s="84"/>
      <c r="DUC3" s="84"/>
      <c r="DUD3" s="84"/>
      <c r="DUE3" s="84"/>
      <c r="DUF3" s="84"/>
      <c r="DUG3" s="84"/>
      <c r="DUH3" s="84"/>
      <c r="DUI3" s="84"/>
      <c r="DUJ3" s="84"/>
      <c r="DUK3" s="84"/>
      <c r="DUL3" s="84"/>
      <c r="DUM3" s="84"/>
      <c r="DUN3" s="84"/>
      <c r="DUO3" s="84"/>
      <c r="DUP3" s="84"/>
      <c r="DUQ3" s="84"/>
      <c r="DUR3" s="84"/>
      <c r="DUS3" s="84"/>
      <c r="DUT3" s="84"/>
      <c r="DUU3" s="84"/>
      <c r="DUV3" s="84"/>
      <c r="DUW3" s="84"/>
      <c r="DUX3" s="84"/>
      <c r="DUY3" s="84"/>
      <c r="DUZ3" s="84"/>
      <c r="DVA3" s="84"/>
      <c r="DVB3" s="84"/>
      <c r="DVC3" s="84"/>
      <c r="DVD3" s="84"/>
      <c r="DVE3" s="84"/>
      <c r="DVF3" s="84"/>
      <c r="DVG3" s="84"/>
      <c r="DVH3" s="84"/>
      <c r="DVI3" s="84"/>
      <c r="DVJ3" s="84"/>
      <c r="DVK3" s="84"/>
      <c r="DVL3" s="84"/>
      <c r="DVM3" s="84"/>
      <c r="DVN3" s="84"/>
      <c r="DVO3" s="84"/>
      <c r="DVP3" s="84"/>
      <c r="DVQ3" s="84"/>
      <c r="DVR3" s="84"/>
      <c r="DVS3" s="84"/>
      <c r="DVT3" s="84"/>
      <c r="DVU3" s="84"/>
      <c r="DVV3" s="84"/>
      <c r="DVW3" s="84"/>
      <c r="DVX3" s="84"/>
      <c r="DVY3" s="84"/>
      <c r="DVZ3" s="84"/>
      <c r="DWA3" s="84"/>
      <c r="DWB3" s="84"/>
      <c r="DWC3" s="84"/>
      <c r="DWD3" s="84"/>
      <c r="DWE3" s="84"/>
      <c r="DWF3" s="84"/>
      <c r="DWG3" s="84"/>
      <c r="DWH3" s="84"/>
      <c r="DWI3" s="84"/>
      <c r="DWJ3" s="84"/>
      <c r="DWK3" s="84"/>
      <c r="DWL3" s="84"/>
      <c r="DWM3" s="84"/>
      <c r="DWN3" s="84"/>
      <c r="DWO3" s="84"/>
      <c r="DWP3" s="84"/>
      <c r="DWQ3" s="84"/>
      <c r="DWR3" s="84"/>
      <c r="DWS3" s="84"/>
      <c r="DWT3" s="84"/>
      <c r="DWU3" s="84"/>
      <c r="DWV3" s="84"/>
      <c r="DWW3" s="84"/>
      <c r="DWX3" s="84"/>
      <c r="DWY3" s="84"/>
      <c r="DWZ3" s="84"/>
      <c r="DXA3" s="84"/>
      <c r="DXB3" s="84"/>
      <c r="DXC3" s="84"/>
      <c r="DXD3" s="84"/>
      <c r="DXE3" s="84"/>
      <c r="DXF3" s="84"/>
      <c r="DXG3" s="84"/>
      <c r="DXH3" s="84"/>
      <c r="DXI3" s="84"/>
      <c r="DXJ3" s="84"/>
      <c r="DXK3" s="84"/>
      <c r="DXL3" s="84"/>
      <c r="DXM3" s="84"/>
      <c r="DXN3" s="84"/>
      <c r="DXO3" s="84"/>
      <c r="DXP3" s="84"/>
      <c r="DXQ3" s="84"/>
      <c r="DXR3" s="84"/>
      <c r="DXS3" s="84"/>
      <c r="DXT3" s="84"/>
      <c r="DXU3" s="84"/>
      <c r="DXV3" s="84"/>
      <c r="DXW3" s="84"/>
      <c r="DXX3" s="84"/>
      <c r="DXY3" s="84"/>
      <c r="DXZ3" s="84"/>
      <c r="DYA3" s="84"/>
      <c r="DYB3" s="84"/>
      <c r="DYC3" s="84"/>
      <c r="DYD3" s="84"/>
      <c r="DYE3" s="84"/>
      <c r="DYF3" s="84"/>
      <c r="DYG3" s="84"/>
      <c r="DYH3" s="84"/>
      <c r="DYI3" s="84"/>
      <c r="DYJ3" s="84"/>
      <c r="DYK3" s="84"/>
      <c r="DYL3" s="84"/>
      <c r="DYM3" s="84"/>
      <c r="DYN3" s="84"/>
      <c r="DYO3" s="84"/>
      <c r="DYP3" s="84"/>
      <c r="DYQ3" s="84"/>
      <c r="DYR3" s="84"/>
      <c r="DYS3" s="84"/>
      <c r="DYT3" s="84"/>
      <c r="DYU3" s="84"/>
      <c r="DYV3" s="84"/>
      <c r="DYW3" s="84"/>
      <c r="DYX3" s="84"/>
      <c r="DYY3" s="84"/>
      <c r="DYZ3" s="84"/>
      <c r="DZA3" s="84"/>
      <c r="DZB3" s="84"/>
      <c r="DZC3" s="84"/>
      <c r="DZD3" s="84"/>
      <c r="DZE3" s="84"/>
      <c r="DZF3" s="84"/>
      <c r="DZG3" s="84"/>
      <c r="DZH3" s="84"/>
      <c r="DZI3" s="84"/>
      <c r="DZJ3" s="84"/>
      <c r="DZK3" s="84"/>
      <c r="DZL3" s="84"/>
      <c r="DZM3" s="84"/>
      <c r="DZN3" s="84"/>
      <c r="DZO3" s="84"/>
      <c r="DZP3" s="84"/>
      <c r="DZQ3" s="84"/>
      <c r="DZR3" s="84"/>
      <c r="DZS3" s="84"/>
      <c r="DZT3" s="84"/>
      <c r="DZU3" s="84"/>
      <c r="DZV3" s="84"/>
      <c r="DZW3" s="84"/>
      <c r="DZX3" s="84"/>
      <c r="DZY3" s="84"/>
      <c r="DZZ3" s="84"/>
      <c r="EAA3" s="84"/>
      <c r="EAB3" s="84"/>
      <c r="EAC3" s="84"/>
      <c r="EAD3" s="84"/>
      <c r="EAE3" s="84"/>
      <c r="EAF3" s="84"/>
      <c r="EAG3" s="84"/>
      <c r="EAH3" s="84"/>
      <c r="EAI3" s="84"/>
      <c r="EAJ3" s="84"/>
      <c r="EAK3" s="84"/>
      <c r="EAL3" s="84"/>
      <c r="EAM3" s="84"/>
      <c r="EAN3" s="84"/>
      <c r="EAO3" s="84"/>
      <c r="EAP3" s="84"/>
      <c r="EAQ3" s="84"/>
      <c r="EAR3" s="84"/>
      <c r="EAS3" s="84"/>
      <c r="EAT3" s="84"/>
      <c r="EAU3" s="84"/>
      <c r="EAV3" s="84"/>
      <c r="EAW3" s="84"/>
      <c r="EAX3" s="84"/>
      <c r="EAY3" s="84"/>
      <c r="EAZ3" s="84"/>
      <c r="EBA3" s="84"/>
      <c r="EBB3" s="84"/>
      <c r="EBC3" s="84"/>
      <c r="EBD3" s="84"/>
      <c r="EBE3" s="84"/>
      <c r="EBF3" s="84"/>
      <c r="EBG3" s="84"/>
      <c r="EBH3" s="84"/>
      <c r="EBI3" s="84"/>
      <c r="EBJ3" s="84"/>
      <c r="EBK3" s="84"/>
      <c r="EBL3" s="84"/>
      <c r="EBM3" s="84"/>
      <c r="EBN3" s="84"/>
      <c r="EBO3" s="84"/>
      <c r="EBP3" s="84"/>
      <c r="EBQ3" s="84"/>
      <c r="EBR3" s="84"/>
      <c r="EBS3" s="84"/>
      <c r="EBT3" s="84"/>
      <c r="EBU3" s="84"/>
      <c r="EBV3" s="84"/>
      <c r="EBW3" s="84"/>
      <c r="EBX3" s="84"/>
      <c r="EBY3" s="84"/>
      <c r="EBZ3" s="84"/>
      <c r="ECA3" s="84"/>
      <c r="ECB3" s="84"/>
      <c r="ECC3" s="84"/>
      <c r="ECD3" s="84"/>
      <c r="ECE3" s="84"/>
      <c r="ECF3" s="84"/>
      <c r="ECG3" s="84"/>
      <c r="ECH3" s="84"/>
      <c r="ECI3" s="84"/>
      <c r="ECJ3" s="84"/>
      <c r="ECK3" s="84"/>
      <c r="ECL3" s="84"/>
      <c r="ECM3" s="84"/>
      <c r="ECN3" s="84"/>
      <c r="ECO3" s="84"/>
      <c r="ECP3" s="84"/>
      <c r="ECQ3" s="84"/>
      <c r="ECR3" s="84"/>
      <c r="ECS3" s="84"/>
      <c r="ECT3" s="84"/>
      <c r="ECU3" s="84"/>
      <c r="ECV3" s="84"/>
      <c r="ECW3" s="84"/>
      <c r="ECX3" s="84"/>
      <c r="ECY3" s="84"/>
      <c r="ECZ3" s="84"/>
      <c r="EDA3" s="84"/>
      <c r="EDB3" s="84"/>
      <c r="EDC3" s="84"/>
      <c r="EDD3" s="84"/>
      <c r="EDE3" s="84"/>
      <c r="EDF3" s="84"/>
      <c r="EDG3" s="84"/>
      <c r="EDH3" s="84"/>
      <c r="EDI3" s="84"/>
      <c r="EDJ3" s="84"/>
      <c r="EDK3" s="84"/>
      <c r="EDL3" s="84"/>
      <c r="EDM3" s="84"/>
      <c r="EDN3" s="84"/>
      <c r="EDO3" s="84"/>
      <c r="EDP3" s="84"/>
      <c r="EDQ3" s="84"/>
      <c r="EDR3" s="84"/>
      <c r="EDS3" s="84"/>
      <c r="EDT3" s="84"/>
      <c r="EDU3" s="84"/>
      <c r="EDV3" s="84"/>
      <c r="EDW3" s="84"/>
      <c r="EDX3" s="84"/>
      <c r="EDY3" s="84"/>
      <c r="EDZ3" s="84"/>
      <c r="EEA3" s="84"/>
      <c r="EEB3" s="84"/>
      <c r="EEC3" s="84"/>
      <c r="EED3" s="84"/>
      <c r="EEE3" s="84"/>
      <c r="EEF3" s="84"/>
      <c r="EEG3" s="84"/>
      <c r="EEH3" s="84"/>
      <c r="EEI3" s="84"/>
      <c r="EEJ3" s="84"/>
      <c r="EEK3" s="84"/>
      <c r="EEL3" s="84"/>
      <c r="EEM3" s="84"/>
      <c r="EEN3" s="84"/>
      <c r="EEO3" s="84"/>
      <c r="EEP3" s="84"/>
      <c r="EEQ3" s="84"/>
      <c r="EER3" s="84"/>
      <c r="EES3" s="84"/>
      <c r="EET3" s="84"/>
      <c r="EEU3" s="84"/>
      <c r="EEV3" s="84"/>
      <c r="EEW3" s="84"/>
      <c r="EEX3" s="84"/>
      <c r="EEY3" s="84"/>
      <c r="EEZ3" s="84"/>
      <c r="EFA3" s="84"/>
      <c r="EFB3" s="84"/>
      <c r="EFC3" s="84"/>
      <c r="EFD3" s="84"/>
      <c r="EFE3" s="84"/>
      <c r="EFF3" s="84"/>
      <c r="EFG3" s="84"/>
      <c r="EFH3" s="84"/>
      <c r="EFI3" s="84"/>
      <c r="EFJ3" s="84"/>
      <c r="EFK3" s="84"/>
      <c r="EFL3" s="84"/>
      <c r="EFM3" s="84"/>
      <c r="EFN3" s="84"/>
      <c r="EFO3" s="84"/>
      <c r="EFP3" s="84"/>
      <c r="EFQ3" s="84"/>
      <c r="EFR3" s="84"/>
      <c r="EFS3" s="84"/>
      <c r="EFT3" s="84"/>
      <c r="EFU3" s="84"/>
      <c r="EFV3" s="84"/>
      <c r="EFW3" s="84"/>
      <c r="EFX3" s="84"/>
      <c r="EFY3" s="84"/>
      <c r="EFZ3" s="84"/>
      <c r="EGA3" s="84"/>
      <c r="EGB3" s="84"/>
      <c r="EGC3" s="84"/>
      <c r="EGD3" s="84"/>
      <c r="EGE3" s="84"/>
      <c r="EGF3" s="84"/>
      <c r="EGG3" s="84"/>
      <c r="EGH3" s="84"/>
      <c r="EGI3" s="84"/>
      <c r="EGJ3" s="84"/>
      <c r="EGK3" s="84"/>
      <c r="EGL3" s="84"/>
      <c r="EGM3" s="84"/>
      <c r="EGN3" s="84"/>
      <c r="EGO3" s="84"/>
      <c r="EGP3" s="84"/>
      <c r="EGQ3" s="84"/>
      <c r="EGR3" s="84"/>
      <c r="EGS3" s="84"/>
      <c r="EGT3" s="84"/>
      <c r="EGU3" s="84"/>
      <c r="EGV3" s="84"/>
      <c r="EGW3" s="84"/>
      <c r="EGX3" s="84"/>
      <c r="EGY3" s="84"/>
      <c r="EGZ3" s="84"/>
      <c r="EHA3" s="84"/>
      <c r="EHB3" s="84"/>
      <c r="EHC3" s="84"/>
      <c r="EHD3" s="84"/>
      <c r="EHE3" s="84"/>
      <c r="EHF3" s="84"/>
      <c r="EHG3" s="84"/>
      <c r="EHH3" s="84"/>
      <c r="EHI3" s="84"/>
      <c r="EHJ3" s="84"/>
      <c r="EHK3" s="84"/>
      <c r="EHL3" s="84"/>
      <c r="EHM3" s="84"/>
      <c r="EHN3" s="84"/>
      <c r="EHO3" s="84"/>
      <c r="EHP3" s="84"/>
      <c r="EHQ3" s="84"/>
      <c r="EHR3" s="84"/>
      <c r="EHS3" s="84"/>
      <c r="EHT3" s="84"/>
      <c r="EHU3" s="84"/>
      <c r="EHV3" s="84"/>
      <c r="EHW3" s="84"/>
      <c r="EHX3" s="84"/>
      <c r="EHY3" s="84"/>
      <c r="EHZ3" s="84"/>
      <c r="EIA3" s="84"/>
      <c r="EIB3" s="84"/>
      <c r="EIC3" s="84"/>
      <c r="EID3" s="84"/>
      <c r="EIE3" s="84"/>
      <c r="EIF3" s="84"/>
      <c r="EIG3" s="84"/>
      <c r="EIH3" s="84"/>
      <c r="EII3" s="84"/>
      <c r="EIJ3" s="84"/>
      <c r="EIK3" s="84"/>
      <c r="EIL3" s="84"/>
      <c r="EIM3" s="84"/>
      <c r="EIN3" s="84"/>
      <c r="EIO3" s="84"/>
      <c r="EIP3" s="84"/>
      <c r="EIQ3" s="84"/>
      <c r="EIR3" s="84"/>
      <c r="EIS3" s="84"/>
      <c r="EIT3" s="84"/>
      <c r="EIU3" s="84"/>
      <c r="EIV3" s="84"/>
      <c r="EIW3" s="84"/>
      <c r="EIX3" s="84"/>
      <c r="EIY3" s="84"/>
      <c r="EIZ3" s="84"/>
      <c r="EJA3" s="84"/>
      <c r="EJB3" s="84"/>
      <c r="EJC3" s="84"/>
      <c r="EJD3" s="84"/>
      <c r="EJE3" s="84"/>
      <c r="EJF3" s="84"/>
      <c r="EJG3" s="84"/>
      <c r="EJH3" s="84"/>
      <c r="EJI3" s="84"/>
      <c r="EJJ3" s="84"/>
      <c r="EJK3" s="84"/>
      <c r="EJL3" s="84"/>
      <c r="EJM3" s="84"/>
      <c r="EJN3" s="84"/>
      <c r="EJO3" s="84"/>
      <c r="EJP3" s="84"/>
      <c r="EJQ3" s="84"/>
      <c r="EJR3" s="84"/>
      <c r="EJS3" s="84"/>
      <c r="EJT3" s="84"/>
      <c r="EJU3" s="84"/>
      <c r="EJV3" s="84"/>
      <c r="EJW3" s="84"/>
      <c r="EJX3" s="84"/>
      <c r="EJY3" s="84"/>
      <c r="EJZ3" s="84"/>
      <c r="EKA3" s="84"/>
      <c r="EKB3" s="84"/>
      <c r="EKC3" s="84"/>
      <c r="EKD3" s="84"/>
      <c r="EKE3" s="84"/>
      <c r="EKF3" s="84"/>
      <c r="EKG3" s="84"/>
      <c r="EKH3" s="84"/>
      <c r="EKI3" s="84"/>
      <c r="EKJ3" s="84"/>
      <c r="EKK3" s="84"/>
      <c r="EKL3" s="84"/>
      <c r="EKM3" s="84"/>
      <c r="EKN3" s="84"/>
      <c r="EKO3" s="84"/>
      <c r="EKP3" s="84"/>
      <c r="EKQ3" s="84"/>
      <c r="EKR3" s="84"/>
      <c r="EKS3" s="84"/>
      <c r="EKT3" s="84"/>
      <c r="EKU3" s="84"/>
      <c r="EKV3" s="84"/>
      <c r="EKW3" s="84"/>
      <c r="EKX3" s="84"/>
      <c r="EKY3" s="84"/>
      <c r="EKZ3" s="84"/>
      <c r="ELA3" s="84"/>
      <c r="ELB3" s="84"/>
      <c r="ELC3" s="84"/>
      <c r="ELD3" s="84"/>
      <c r="ELE3" s="84"/>
      <c r="ELF3" s="84"/>
      <c r="ELG3" s="84"/>
      <c r="ELH3" s="84"/>
      <c r="ELI3" s="84"/>
      <c r="ELJ3" s="84"/>
      <c r="ELK3" s="84"/>
      <c r="ELL3" s="84"/>
      <c r="ELM3" s="84"/>
      <c r="ELN3" s="84"/>
      <c r="ELO3" s="84"/>
      <c r="ELP3" s="84"/>
      <c r="ELQ3" s="84"/>
      <c r="ELR3" s="84"/>
      <c r="ELS3" s="84"/>
      <c r="ELT3" s="84"/>
      <c r="ELU3" s="84"/>
      <c r="ELV3" s="84"/>
      <c r="ELW3" s="84"/>
      <c r="ELX3" s="84"/>
      <c r="ELY3" s="84"/>
      <c r="ELZ3" s="84"/>
      <c r="EMA3" s="84"/>
      <c r="EMB3" s="84"/>
      <c r="EMC3" s="84"/>
      <c r="EMD3" s="84"/>
      <c r="EME3" s="84"/>
      <c r="EMF3" s="84"/>
      <c r="EMG3" s="84"/>
      <c r="EMH3" s="84"/>
      <c r="EMI3" s="84"/>
      <c r="EMJ3" s="84"/>
      <c r="EMK3" s="84"/>
      <c r="EML3" s="84"/>
      <c r="EMM3" s="84"/>
      <c r="EMN3" s="84"/>
      <c r="EMO3" s="84"/>
      <c r="EMP3" s="84"/>
      <c r="EMQ3" s="84"/>
      <c r="EMR3" s="84"/>
      <c r="EMS3" s="84"/>
      <c r="EMT3" s="84"/>
      <c r="EMU3" s="84"/>
      <c r="EMV3" s="84"/>
      <c r="EMW3" s="84"/>
      <c r="EMX3" s="84"/>
      <c r="EMY3" s="84"/>
      <c r="EMZ3" s="84"/>
      <c r="ENA3" s="84"/>
      <c r="ENB3" s="84"/>
      <c r="ENC3" s="84"/>
      <c r="END3" s="84"/>
      <c r="ENE3" s="84"/>
      <c r="ENF3" s="84"/>
      <c r="ENG3" s="84"/>
      <c r="ENH3" s="84"/>
      <c r="ENI3" s="84"/>
      <c r="ENJ3" s="84"/>
      <c r="ENK3" s="84"/>
      <c r="ENL3" s="84"/>
      <c r="ENM3" s="84"/>
      <c r="ENN3" s="84"/>
      <c r="ENO3" s="84"/>
      <c r="ENP3" s="84"/>
      <c r="ENQ3" s="84"/>
      <c r="ENR3" s="84"/>
      <c r="ENS3" s="84"/>
      <c r="ENT3" s="84"/>
      <c r="ENU3" s="84"/>
      <c r="ENV3" s="84"/>
      <c r="ENW3" s="84"/>
      <c r="ENX3" s="84"/>
      <c r="ENY3" s="84"/>
      <c r="ENZ3" s="84"/>
      <c r="EOA3" s="84"/>
      <c r="EOB3" s="84"/>
      <c r="EOC3" s="84"/>
      <c r="EOD3" s="84"/>
      <c r="EOE3" s="84"/>
      <c r="EOF3" s="84"/>
      <c r="EOG3" s="84"/>
      <c r="EOH3" s="84"/>
      <c r="EOI3" s="84"/>
      <c r="EOJ3" s="84"/>
      <c r="EOK3" s="84"/>
      <c r="EOL3" s="84"/>
      <c r="EOM3" s="84"/>
      <c r="EON3" s="84"/>
      <c r="EOO3" s="84"/>
      <c r="EOP3" s="84"/>
      <c r="EOQ3" s="84"/>
      <c r="EOR3" s="84"/>
      <c r="EOS3" s="84"/>
      <c r="EOT3" s="84"/>
      <c r="EOU3" s="84"/>
      <c r="EOV3" s="84"/>
      <c r="EOW3" s="84"/>
      <c r="EOX3" s="84"/>
      <c r="EOY3" s="84"/>
      <c r="EOZ3" s="84"/>
      <c r="EPA3" s="84"/>
      <c r="EPB3" s="84"/>
      <c r="EPC3" s="84"/>
      <c r="EPD3" s="84"/>
      <c r="EPE3" s="84"/>
      <c r="EPF3" s="84"/>
      <c r="EPG3" s="84"/>
      <c r="EPH3" s="84"/>
      <c r="EPI3" s="84"/>
      <c r="EPJ3" s="84"/>
      <c r="EPK3" s="84"/>
      <c r="EPL3" s="84"/>
      <c r="EPM3" s="84"/>
      <c r="EPN3" s="84"/>
      <c r="EPO3" s="84"/>
      <c r="EPP3" s="84"/>
      <c r="EPQ3" s="84"/>
      <c r="EPR3" s="84"/>
      <c r="EPS3" s="84"/>
      <c r="EPT3" s="84"/>
      <c r="EPU3" s="84"/>
      <c r="EPV3" s="84"/>
      <c r="EPW3" s="84"/>
      <c r="EPX3" s="84"/>
      <c r="EPY3" s="84"/>
      <c r="EPZ3" s="84"/>
      <c r="EQA3" s="84"/>
      <c r="EQB3" s="84"/>
      <c r="EQC3" s="84"/>
      <c r="EQD3" s="84"/>
      <c r="EQE3" s="84"/>
      <c r="EQF3" s="84"/>
      <c r="EQG3" s="84"/>
      <c r="EQH3" s="84"/>
      <c r="EQI3" s="84"/>
      <c r="EQJ3" s="84"/>
      <c r="EQK3" s="84"/>
      <c r="EQL3" s="84"/>
      <c r="EQM3" s="84"/>
      <c r="EQN3" s="84"/>
      <c r="EQO3" s="84"/>
      <c r="EQP3" s="84"/>
      <c r="EQQ3" s="84"/>
      <c r="EQR3" s="84"/>
      <c r="EQS3" s="84"/>
      <c r="EQT3" s="84"/>
      <c r="EQU3" s="84"/>
      <c r="EQV3" s="84"/>
      <c r="EQW3" s="84"/>
      <c r="EQX3" s="84"/>
      <c r="EQY3" s="84"/>
      <c r="EQZ3" s="84"/>
      <c r="ERA3" s="84"/>
      <c r="ERB3" s="84"/>
      <c r="ERC3" s="84"/>
      <c r="ERD3" s="84"/>
      <c r="ERE3" s="84"/>
      <c r="ERF3" s="84"/>
      <c r="ERG3" s="84"/>
      <c r="ERH3" s="84"/>
      <c r="ERI3" s="84"/>
      <c r="ERJ3" s="84"/>
      <c r="ERK3" s="84"/>
      <c r="ERL3" s="84"/>
      <c r="ERM3" s="84"/>
      <c r="ERN3" s="84"/>
      <c r="ERO3" s="84"/>
      <c r="ERP3" s="84"/>
      <c r="ERQ3" s="84"/>
      <c r="ERR3" s="84"/>
      <c r="ERS3" s="84"/>
      <c r="ERT3" s="84"/>
      <c r="ERU3" s="84"/>
      <c r="ERV3" s="84"/>
      <c r="ERW3" s="84"/>
      <c r="ERX3" s="84"/>
      <c r="ERY3" s="84"/>
      <c r="ERZ3" s="84"/>
      <c r="ESA3" s="84"/>
      <c r="ESB3" s="84"/>
      <c r="ESC3" s="84"/>
      <c r="ESD3" s="84"/>
      <c r="ESE3" s="84"/>
      <c r="ESF3" s="84"/>
      <c r="ESG3" s="84"/>
      <c r="ESH3" s="84"/>
      <c r="ESI3" s="84"/>
      <c r="ESJ3" s="84"/>
      <c r="ESK3" s="84"/>
      <c r="ESL3" s="84"/>
      <c r="ESM3" s="84"/>
      <c r="ESN3" s="84"/>
      <c r="ESO3" s="84"/>
      <c r="ESP3" s="84"/>
      <c r="ESQ3" s="84"/>
      <c r="ESR3" s="84"/>
      <c r="ESS3" s="84"/>
      <c r="EST3" s="84"/>
      <c r="ESU3" s="84"/>
      <c r="ESV3" s="84"/>
      <c r="ESW3" s="84"/>
      <c r="ESX3" s="84"/>
      <c r="ESY3" s="84"/>
      <c r="ESZ3" s="84"/>
      <c r="ETA3" s="84"/>
      <c r="ETB3" s="84"/>
      <c r="ETC3" s="84"/>
      <c r="ETD3" s="84"/>
      <c r="ETE3" s="84"/>
      <c r="ETF3" s="84"/>
      <c r="ETG3" s="84"/>
      <c r="ETH3" s="84"/>
      <c r="ETI3" s="84"/>
      <c r="ETJ3" s="84"/>
      <c r="ETK3" s="84"/>
      <c r="ETL3" s="84"/>
      <c r="ETM3" s="84"/>
      <c r="ETN3" s="84"/>
      <c r="ETO3" s="84"/>
      <c r="ETP3" s="84"/>
      <c r="ETQ3" s="84"/>
      <c r="ETR3" s="84"/>
      <c r="ETS3" s="84"/>
      <c r="ETT3" s="84"/>
      <c r="ETU3" s="84"/>
      <c r="ETV3" s="84"/>
      <c r="ETW3" s="84"/>
      <c r="ETX3" s="84"/>
      <c r="ETY3" s="84"/>
      <c r="ETZ3" s="84"/>
      <c r="EUA3" s="84"/>
      <c r="EUB3" s="84"/>
      <c r="EUC3" s="84"/>
      <c r="EUD3" s="84"/>
      <c r="EUE3" s="84"/>
      <c r="EUF3" s="84"/>
      <c r="EUG3" s="84"/>
      <c r="EUH3" s="84"/>
      <c r="EUI3" s="84"/>
      <c r="EUJ3" s="84"/>
      <c r="EUK3" s="84"/>
      <c r="EUL3" s="84"/>
      <c r="EUM3" s="84"/>
      <c r="EUN3" s="84"/>
      <c r="EUO3" s="84"/>
      <c r="EUP3" s="84"/>
      <c r="EUQ3" s="84"/>
      <c r="EUR3" s="84"/>
      <c r="EUS3" s="84"/>
      <c r="EUT3" s="84"/>
      <c r="EUU3" s="84"/>
      <c r="EUV3" s="84"/>
      <c r="EUW3" s="84"/>
      <c r="EUX3" s="84"/>
      <c r="EUY3" s="84"/>
      <c r="EUZ3" s="84"/>
      <c r="EVA3" s="84"/>
      <c r="EVB3" s="84"/>
      <c r="EVC3" s="84"/>
      <c r="EVD3" s="84"/>
      <c r="EVE3" s="84"/>
      <c r="EVF3" s="84"/>
      <c r="EVG3" s="84"/>
      <c r="EVH3" s="84"/>
      <c r="EVI3" s="84"/>
      <c r="EVJ3" s="84"/>
      <c r="EVK3" s="84"/>
      <c r="EVL3" s="84"/>
      <c r="EVM3" s="84"/>
      <c r="EVN3" s="84"/>
      <c r="EVO3" s="84"/>
      <c r="EVP3" s="84"/>
      <c r="EVQ3" s="84"/>
      <c r="EVR3" s="84"/>
      <c r="EVS3" s="84"/>
      <c r="EVT3" s="84"/>
      <c r="EVU3" s="84"/>
      <c r="EVV3" s="84"/>
      <c r="EVW3" s="84"/>
      <c r="EVX3" s="84"/>
      <c r="EVY3" s="84"/>
      <c r="EVZ3" s="84"/>
      <c r="EWA3" s="84"/>
      <c r="EWB3" s="84"/>
      <c r="EWC3" s="84"/>
      <c r="EWD3" s="84"/>
      <c r="EWE3" s="84"/>
      <c r="EWF3" s="84"/>
      <c r="EWG3" s="84"/>
      <c r="EWH3" s="84"/>
      <c r="EWI3" s="84"/>
      <c r="EWJ3" s="84"/>
      <c r="EWK3" s="84"/>
      <c r="EWL3" s="84"/>
      <c r="EWM3" s="84"/>
      <c r="EWN3" s="84"/>
      <c r="EWO3" s="84"/>
      <c r="EWP3" s="84"/>
      <c r="EWQ3" s="84"/>
      <c r="EWR3" s="84"/>
      <c r="EWS3" s="84"/>
      <c r="EWT3" s="84"/>
      <c r="EWU3" s="84"/>
      <c r="EWV3" s="84"/>
      <c r="EWW3" s="84"/>
      <c r="EWX3" s="84"/>
      <c r="EWY3" s="84"/>
      <c r="EWZ3" s="84"/>
      <c r="EXA3" s="84"/>
      <c r="EXB3" s="84"/>
      <c r="EXC3" s="84"/>
      <c r="EXD3" s="84"/>
      <c r="EXE3" s="84"/>
      <c r="EXF3" s="84"/>
      <c r="EXG3" s="84"/>
      <c r="EXH3" s="84"/>
      <c r="EXI3" s="84"/>
      <c r="EXJ3" s="84"/>
      <c r="EXK3" s="84"/>
      <c r="EXL3" s="84"/>
      <c r="EXM3" s="84"/>
      <c r="EXN3" s="84"/>
      <c r="EXO3" s="84"/>
      <c r="EXP3" s="84"/>
      <c r="EXQ3" s="84"/>
      <c r="EXR3" s="84"/>
      <c r="EXS3" s="84"/>
      <c r="EXT3" s="84"/>
      <c r="EXU3" s="84"/>
      <c r="EXV3" s="84"/>
      <c r="EXW3" s="84"/>
      <c r="EXX3" s="84"/>
      <c r="EXY3" s="84"/>
      <c r="EXZ3" s="84"/>
      <c r="EYA3" s="84"/>
      <c r="EYB3" s="84"/>
      <c r="EYC3" s="84"/>
      <c r="EYD3" s="84"/>
      <c r="EYE3" s="84"/>
      <c r="EYF3" s="84"/>
      <c r="EYG3" s="84"/>
      <c r="EYH3" s="84"/>
      <c r="EYI3" s="84"/>
      <c r="EYJ3" s="84"/>
      <c r="EYK3" s="84"/>
      <c r="EYL3" s="84"/>
      <c r="EYM3" s="84"/>
      <c r="EYN3" s="84"/>
      <c r="EYO3" s="84"/>
      <c r="EYP3" s="84"/>
      <c r="EYQ3" s="84"/>
      <c r="EYR3" s="84"/>
      <c r="EYS3" s="84"/>
      <c r="EYT3" s="84"/>
      <c r="EYU3" s="84"/>
      <c r="EYV3" s="84"/>
      <c r="EYW3" s="84"/>
      <c r="EYX3" s="84"/>
      <c r="EYY3" s="84"/>
      <c r="EYZ3" s="84"/>
      <c r="EZA3" s="84"/>
      <c r="EZB3" s="84"/>
      <c r="EZC3" s="84"/>
      <c r="EZD3" s="84"/>
      <c r="EZE3" s="84"/>
      <c r="EZF3" s="84"/>
      <c r="EZG3" s="84"/>
      <c r="EZH3" s="84"/>
      <c r="EZI3" s="84"/>
      <c r="EZJ3" s="84"/>
      <c r="EZK3" s="84"/>
      <c r="EZL3" s="84"/>
      <c r="EZM3" s="84"/>
      <c r="EZN3" s="84"/>
      <c r="EZO3" s="84"/>
      <c r="EZP3" s="84"/>
      <c r="EZQ3" s="84"/>
      <c r="EZR3" s="84"/>
      <c r="EZS3" s="84"/>
      <c r="EZT3" s="84"/>
      <c r="EZU3" s="84"/>
      <c r="EZV3" s="84"/>
      <c r="EZW3" s="84"/>
      <c r="EZX3" s="84"/>
      <c r="EZY3" s="84"/>
      <c r="EZZ3" s="84"/>
      <c r="FAA3" s="84"/>
      <c r="FAB3" s="84"/>
      <c r="FAC3" s="84"/>
      <c r="FAD3" s="84"/>
      <c r="FAE3" s="84"/>
      <c r="FAF3" s="84"/>
      <c r="FAG3" s="84"/>
      <c r="FAH3" s="84"/>
      <c r="FAI3" s="84"/>
      <c r="FAJ3" s="84"/>
      <c r="FAK3" s="84"/>
      <c r="FAL3" s="84"/>
      <c r="FAM3" s="84"/>
      <c r="FAN3" s="84"/>
      <c r="FAO3" s="84"/>
      <c r="FAP3" s="84"/>
      <c r="FAQ3" s="84"/>
      <c r="FAR3" s="84"/>
      <c r="FAS3" s="84"/>
      <c r="FAT3" s="84"/>
      <c r="FAU3" s="84"/>
      <c r="FAV3" s="84"/>
      <c r="FAW3" s="84"/>
      <c r="FAX3" s="84"/>
      <c r="FAY3" s="84"/>
      <c r="FAZ3" s="84"/>
      <c r="FBA3" s="84"/>
      <c r="FBB3" s="84"/>
      <c r="FBC3" s="84"/>
      <c r="FBD3" s="84"/>
      <c r="FBE3" s="84"/>
      <c r="FBF3" s="84"/>
      <c r="FBG3" s="84"/>
      <c r="FBH3" s="84"/>
      <c r="FBI3" s="84"/>
      <c r="FBJ3" s="84"/>
      <c r="FBK3" s="84"/>
      <c r="FBL3" s="84"/>
      <c r="FBM3" s="84"/>
      <c r="FBN3" s="84"/>
      <c r="FBO3" s="84"/>
      <c r="FBP3" s="84"/>
      <c r="FBQ3" s="84"/>
      <c r="FBR3" s="84"/>
      <c r="FBS3" s="84"/>
      <c r="FBT3" s="84"/>
      <c r="FBU3" s="84"/>
      <c r="FBV3" s="84"/>
      <c r="FBW3" s="84"/>
      <c r="FBX3" s="84"/>
      <c r="FBY3" s="84"/>
      <c r="FBZ3" s="84"/>
      <c r="FCA3" s="84"/>
      <c r="FCB3" s="84"/>
      <c r="FCC3" s="84"/>
      <c r="FCD3" s="84"/>
      <c r="FCE3" s="84"/>
      <c r="FCF3" s="84"/>
      <c r="FCG3" s="84"/>
      <c r="FCH3" s="84"/>
      <c r="FCI3" s="84"/>
      <c r="FCJ3" s="84"/>
      <c r="FCK3" s="84"/>
      <c r="FCL3" s="84"/>
      <c r="FCM3" s="84"/>
      <c r="FCN3" s="84"/>
      <c r="FCO3" s="84"/>
      <c r="FCP3" s="84"/>
      <c r="FCQ3" s="84"/>
      <c r="FCR3" s="84"/>
      <c r="FCS3" s="84"/>
      <c r="FCT3" s="84"/>
      <c r="FCU3" s="84"/>
      <c r="FCV3" s="84"/>
      <c r="FCW3" s="84"/>
      <c r="FCX3" s="84"/>
      <c r="FCY3" s="84"/>
      <c r="FCZ3" s="84"/>
      <c r="FDA3" s="84"/>
      <c r="FDB3" s="84"/>
      <c r="FDC3" s="84"/>
      <c r="FDD3" s="84"/>
      <c r="FDE3" s="84"/>
      <c r="FDF3" s="84"/>
      <c r="FDG3" s="84"/>
      <c r="FDH3" s="84"/>
      <c r="FDI3" s="84"/>
      <c r="FDJ3" s="84"/>
      <c r="FDK3" s="84"/>
      <c r="FDL3" s="84"/>
      <c r="FDM3" s="84"/>
      <c r="FDN3" s="84"/>
      <c r="FDO3" s="84"/>
      <c r="FDP3" s="84"/>
      <c r="FDQ3" s="84"/>
      <c r="FDR3" s="84"/>
      <c r="FDS3" s="84"/>
      <c r="FDT3" s="84"/>
      <c r="FDU3" s="84"/>
      <c r="FDV3" s="84"/>
      <c r="FDW3" s="84"/>
      <c r="FDX3" s="84"/>
      <c r="FDY3" s="84"/>
      <c r="FDZ3" s="84"/>
      <c r="FEA3" s="84"/>
      <c r="FEB3" s="84"/>
      <c r="FEC3" s="84"/>
      <c r="FED3" s="84"/>
      <c r="FEE3" s="84"/>
      <c r="FEF3" s="84"/>
      <c r="FEG3" s="84"/>
      <c r="FEH3" s="84"/>
      <c r="FEI3" s="84"/>
      <c r="FEJ3" s="84"/>
      <c r="FEK3" s="84"/>
      <c r="FEL3" s="84"/>
      <c r="FEM3" s="84"/>
      <c r="FEN3" s="84"/>
      <c r="FEO3" s="84"/>
      <c r="FEP3" s="84"/>
      <c r="FEQ3" s="84"/>
      <c r="FER3" s="84"/>
      <c r="FES3" s="84"/>
      <c r="FET3" s="84"/>
      <c r="FEU3" s="84"/>
      <c r="FEV3" s="84"/>
      <c r="FEW3" s="84"/>
      <c r="FEX3" s="84"/>
      <c r="FEY3" s="84"/>
      <c r="FEZ3" s="84"/>
      <c r="FFA3" s="84"/>
      <c r="FFB3" s="84"/>
      <c r="FFC3" s="84"/>
      <c r="FFD3" s="84"/>
      <c r="FFE3" s="84"/>
      <c r="FFF3" s="84"/>
      <c r="FFG3" s="84"/>
      <c r="FFH3" s="84"/>
      <c r="FFI3" s="84"/>
      <c r="FFJ3" s="84"/>
      <c r="FFK3" s="84"/>
      <c r="FFL3" s="84"/>
      <c r="FFM3" s="84"/>
      <c r="FFN3" s="84"/>
      <c r="FFO3" s="84"/>
      <c r="FFP3" s="84"/>
      <c r="FFQ3" s="84"/>
      <c r="FFR3" s="84"/>
      <c r="FFS3" s="84"/>
      <c r="FFT3" s="84"/>
      <c r="FFU3" s="84"/>
      <c r="FFV3" s="84"/>
      <c r="FFW3" s="84"/>
      <c r="FFX3" s="84"/>
      <c r="FFY3" s="84"/>
      <c r="FFZ3" s="84"/>
      <c r="FGA3" s="84"/>
      <c r="FGB3" s="84"/>
      <c r="FGC3" s="84"/>
      <c r="FGD3" s="84"/>
      <c r="FGE3" s="84"/>
      <c r="FGF3" s="84"/>
      <c r="FGG3" s="84"/>
      <c r="FGH3" s="84"/>
      <c r="FGI3" s="84"/>
      <c r="FGJ3" s="84"/>
      <c r="FGK3" s="84"/>
      <c r="FGL3" s="84"/>
      <c r="FGM3" s="84"/>
      <c r="FGN3" s="84"/>
      <c r="FGO3" s="84"/>
      <c r="FGP3" s="84"/>
      <c r="FGQ3" s="84"/>
      <c r="FGR3" s="84"/>
      <c r="FGS3" s="84"/>
      <c r="FGT3" s="84"/>
      <c r="FGU3" s="84"/>
      <c r="FGV3" s="84"/>
      <c r="FGW3" s="84"/>
      <c r="FGX3" s="84"/>
      <c r="FGY3" s="84"/>
      <c r="FGZ3" s="84"/>
      <c r="FHA3" s="84"/>
      <c r="FHB3" s="84"/>
      <c r="FHC3" s="84"/>
      <c r="FHD3" s="84"/>
      <c r="FHE3" s="84"/>
      <c r="FHF3" s="84"/>
      <c r="FHG3" s="84"/>
      <c r="FHH3" s="84"/>
      <c r="FHI3" s="84"/>
      <c r="FHJ3" s="84"/>
      <c r="FHK3" s="84"/>
      <c r="FHL3" s="84"/>
      <c r="FHM3" s="84"/>
      <c r="FHN3" s="84"/>
      <c r="FHO3" s="84"/>
      <c r="FHP3" s="84"/>
      <c r="FHQ3" s="84"/>
      <c r="FHR3" s="84"/>
      <c r="FHS3" s="84"/>
      <c r="FHT3" s="84"/>
      <c r="FHU3" s="84"/>
      <c r="FHV3" s="84"/>
      <c r="FHW3" s="84"/>
      <c r="FHX3" s="84"/>
      <c r="FHY3" s="84"/>
      <c r="FHZ3" s="84"/>
      <c r="FIA3" s="84"/>
      <c r="FIB3" s="84"/>
      <c r="FIC3" s="84"/>
      <c r="FID3" s="84"/>
      <c r="FIE3" s="84"/>
      <c r="FIF3" s="84"/>
      <c r="FIG3" s="84"/>
      <c r="FIH3" s="84"/>
      <c r="FII3" s="84"/>
      <c r="FIJ3" s="84"/>
      <c r="FIK3" s="84"/>
      <c r="FIL3" s="84"/>
      <c r="FIM3" s="84"/>
      <c r="FIN3" s="84"/>
      <c r="FIO3" s="84"/>
      <c r="FIP3" s="84"/>
      <c r="FIQ3" s="84"/>
      <c r="FIR3" s="84"/>
      <c r="FIS3" s="84"/>
      <c r="FIT3" s="84"/>
      <c r="FIU3" s="84"/>
      <c r="FIV3" s="84"/>
      <c r="FIW3" s="84"/>
      <c r="FIX3" s="84"/>
      <c r="FIY3" s="84"/>
      <c r="FIZ3" s="84"/>
      <c r="FJA3" s="84"/>
      <c r="FJB3" s="84"/>
      <c r="FJC3" s="84"/>
      <c r="FJD3" s="84"/>
      <c r="FJE3" s="84"/>
      <c r="FJF3" s="84"/>
      <c r="FJG3" s="84"/>
      <c r="FJH3" s="84"/>
      <c r="FJI3" s="84"/>
      <c r="FJJ3" s="84"/>
      <c r="FJK3" s="84"/>
      <c r="FJL3" s="84"/>
      <c r="FJM3" s="84"/>
      <c r="FJN3" s="84"/>
      <c r="FJO3" s="84"/>
      <c r="FJP3" s="84"/>
      <c r="FJQ3" s="84"/>
      <c r="FJR3" s="84"/>
      <c r="FJS3" s="84"/>
      <c r="FJT3" s="84"/>
      <c r="FJU3" s="84"/>
      <c r="FJV3" s="84"/>
      <c r="FJW3" s="84"/>
      <c r="FJX3" s="84"/>
      <c r="FJY3" s="84"/>
      <c r="FJZ3" s="84"/>
      <c r="FKA3" s="84"/>
      <c r="FKB3" s="84"/>
      <c r="FKC3" s="84"/>
      <c r="FKD3" s="84"/>
      <c r="FKE3" s="84"/>
      <c r="FKF3" s="84"/>
      <c r="FKG3" s="84"/>
      <c r="FKH3" s="84"/>
      <c r="FKI3" s="84"/>
      <c r="FKJ3" s="84"/>
      <c r="FKK3" s="84"/>
      <c r="FKL3" s="84"/>
      <c r="FKM3" s="84"/>
      <c r="FKN3" s="84"/>
      <c r="FKO3" s="84"/>
      <c r="FKP3" s="84"/>
      <c r="FKQ3" s="84"/>
      <c r="FKR3" s="84"/>
      <c r="FKS3" s="84"/>
      <c r="FKT3" s="84"/>
      <c r="FKU3" s="84"/>
      <c r="FKV3" s="84"/>
      <c r="FKW3" s="84"/>
      <c r="FKX3" s="84"/>
      <c r="FKY3" s="84"/>
      <c r="FKZ3" s="84"/>
      <c r="FLA3" s="84"/>
      <c r="FLB3" s="84"/>
      <c r="FLC3" s="84"/>
      <c r="FLD3" s="84"/>
      <c r="FLE3" s="84"/>
      <c r="FLF3" s="84"/>
      <c r="FLG3" s="84"/>
      <c r="FLH3" s="84"/>
      <c r="FLI3" s="84"/>
      <c r="FLJ3" s="84"/>
      <c r="FLK3" s="84"/>
      <c r="FLL3" s="84"/>
      <c r="FLM3" s="84"/>
      <c r="FLN3" s="84"/>
      <c r="FLO3" s="84"/>
      <c r="FLP3" s="84"/>
      <c r="FLQ3" s="84"/>
      <c r="FLR3" s="84"/>
      <c r="FLS3" s="84"/>
      <c r="FLT3" s="84"/>
      <c r="FLU3" s="84"/>
      <c r="FLV3" s="84"/>
      <c r="FLW3" s="84"/>
      <c r="FLX3" s="84"/>
      <c r="FLY3" s="84"/>
      <c r="FLZ3" s="84"/>
      <c r="FMA3" s="84"/>
      <c r="FMB3" s="84"/>
      <c r="FMC3" s="84"/>
      <c r="FMD3" s="84"/>
      <c r="FME3" s="84"/>
      <c r="FMF3" s="84"/>
      <c r="FMG3" s="84"/>
      <c r="FMH3" s="84"/>
      <c r="FMI3" s="84"/>
      <c r="FMJ3" s="84"/>
      <c r="FMK3" s="84"/>
      <c r="FML3" s="84"/>
      <c r="FMM3" s="84"/>
      <c r="FMN3" s="84"/>
      <c r="FMO3" s="84"/>
      <c r="FMP3" s="84"/>
      <c r="FMQ3" s="84"/>
      <c r="FMR3" s="84"/>
      <c r="FMS3" s="84"/>
      <c r="FMT3" s="84"/>
      <c r="FMU3" s="84"/>
      <c r="FMV3" s="84"/>
      <c r="FMW3" s="84"/>
      <c r="FMX3" s="84"/>
      <c r="FMY3" s="84"/>
      <c r="FMZ3" s="84"/>
      <c r="FNA3" s="84"/>
      <c r="FNB3" s="84"/>
      <c r="FNC3" s="84"/>
      <c r="FND3" s="84"/>
      <c r="FNE3" s="84"/>
      <c r="FNF3" s="84"/>
      <c r="FNG3" s="84"/>
      <c r="FNH3" s="84"/>
      <c r="FNI3" s="84"/>
      <c r="FNJ3" s="84"/>
      <c r="FNK3" s="84"/>
      <c r="FNL3" s="84"/>
      <c r="FNM3" s="84"/>
      <c r="FNN3" s="84"/>
      <c r="FNO3" s="84"/>
      <c r="FNP3" s="84"/>
      <c r="FNQ3" s="84"/>
      <c r="FNR3" s="84"/>
      <c r="FNS3" s="84"/>
      <c r="FNT3" s="84"/>
      <c r="FNU3" s="84"/>
      <c r="FNV3" s="84"/>
      <c r="FNW3" s="84"/>
      <c r="FNX3" s="84"/>
      <c r="FNY3" s="84"/>
      <c r="FNZ3" s="84"/>
      <c r="FOA3" s="84"/>
      <c r="FOB3" s="84"/>
      <c r="FOC3" s="84"/>
      <c r="FOD3" s="84"/>
      <c r="FOE3" s="84"/>
      <c r="FOF3" s="84"/>
      <c r="FOG3" s="84"/>
      <c r="FOH3" s="84"/>
      <c r="FOI3" s="84"/>
      <c r="FOJ3" s="84"/>
      <c r="FOK3" s="84"/>
      <c r="FOL3" s="84"/>
      <c r="FOM3" s="84"/>
      <c r="FON3" s="84"/>
      <c r="FOO3" s="84"/>
      <c r="FOP3" s="84"/>
      <c r="FOQ3" s="84"/>
      <c r="FOR3" s="84"/>
      <c r="FOS3" s="84"/>
      <c r="FOT3" s="84"/>
      <c r="FOU3" s="84"/>
      <c r="FOV3" s="84"/>
      <c r="FOW3" s="84"/>
      <c r="FOX3" s="84"/>
      <c r="FOY3" s="84"/>
      <c r="FOZ3" s="84"/>
      <c r="FPA3" s="84"/>
      <c r="FPB3" s="84"/>
      <c r="FPC3" s="84"/>
      <c r="FPD3" s="84"/>
      <c r="FPE3" s="84"/>
      <c r="FPF3" s="84"/>
      <c r="FPG3" s="84"/>
      <c r="FPH3" s="84"/>
      <c r="FPI3" s="84"/>
      <c r="FPJ3" s="84"/>
      <c r="FPK3" s="84"/>
      <c r="FPL3" s="84"/>
      <c r="FPM3" s="84"/>
      <c r="FPN3" s="84"/>
      <c r="FPO3" s="84"/>
      <c r="FPP3" s="84"/>
      <c r="FPQ3" s="84"/>
      <c r="FPR3" s="84"/>
      <c r="FPS3" s="84"/>
      <c r="FPT3" s="84"/>
      <c r="FPU3" s="84"/>
      <c r="FPV3" s="84"/>
      <c r="FPW3" s="84"/>
      <c r="FPX3" s="84"/>
      <c r="FPY3" s="84"/>
      <c r="FPZ3" s="84"/>
      <c r="FQA3" s="84"/>
      <c r="FQB3" s="84"/>
      <c r="FQC3" s="84"/>
      <c r="FQD3" s="84"/>
      <c r="FQE3" s="84"/>
      <c r="FQF3" s="84"/>
      <c r="FQG3" s="84"/>
      <c r="FQH3" s="84"/>
      <c r="FQI3" s="84"/>
      <c r="FQJ3" s="84"/>
      <c r="FQK3" s="84"/>
      <c r="FQL3" s="84"/>
      <c r="FQM3" s="84"/>
      <c r="FQN3" s="84"/>
      <c r="FQO3" s="84"/>
      <c r="FQP3" s="84"/>
      <c r="FQQ3" s="84"/>
      <c r="FQR3" s="84"/>
      <c r="FQS3" s="84"/>
      <c r="FQT3" s="84"/>
      <c r="FQU3" s="84"/>
      <c r="FQV3" s="84"/>
      <c r="FQW3" s="84"/>
      <c r="FQX3" s="84"/>
      <c r="FQY3" s="84"/>
      <c r="FQZ3" s="84"/>
      <c r="FRA3" s="84"/>
      <c r="FRB3" s="84"/>
      <c r="FRC3" s="84"/>
      <c r="FRD3" s="84"/>
      <c r="FRE3" s="84"/>
      <c r="FRF3" s="84"/>
      <c r="FRG3" s="84"/>
      <c r="FRH3" s="84"/>
      <c r="FRI3" s="84"/>
      <c r="FRJ3" s="84"/>
      <c r="FRK3" s="84"/>
      <c r="FRL3" s="84"/>
      <c r="FRM3" s="84"/>
      <c r="FRN3" s="84"/>
      <c r="FRO3" s="84"/>
      <c r="FRP3" s="84"/>
      <c r="FRQ3" s="84"/>
      <c r="FRR3" s="84"/>
      <c r="FRS3" s="84"/>
      <c r="FRT3" s="84"/>
      <c r="FRU3" s="84"/>
      <c r="FRV3" s="84"/>
      <c r="FRW3" s="84"/>
      <c r="FRX3" s="84"/>
      <c r="FRY3" s="84"/>
      <c r="FRZ3" s="84"/>
      <c r="FSA3" s="84"/>
      <c r="FSB3" s="84"/>
      <c r="FSC3" s="84"/>
      <c r="FSD3" s="84"/>
      <c r="FSE3" s="84"/>
      <c r="FSF3" s="84"/>
      <c r="FSG3" s="84"/>
      <c r="FSH3" s="84"/>
      <c r="FSI3" s="84"/>
      <c r="FSJ3" s="84"/>
      <c r="FSK3" s="84"/>
      <c r="FSL3" s="84"/>
      <c r="FSM3" s="84"/>
      <c r="FSN3" s="84"/>
      <c r="FSO3" s="84"/>
      <c r="FSP3" s="84"/>
      <c r="FSQ3" s="84"/>
      <c r="FSR3" s="84"/>
      <c r="FSS3" s="84"/>
      <c r="FST3" s="84"/>
      <c r="FSU3" s="84"/>
      <c r="FSV3" s="84"/>
      <c r="FSW3" s="84"/>
      <c r="FSX3" s="84"/>
      <c r="FSY3" s="84"/>
      <c r="FSZ3" s="84"/>
      <c r="FTA3" s="84"/>
      <c r="FTB3" s="84"/>
      <c r="FTC3" s="84"/>
      <c r="FTD3" s="84"/>
      <c r="FTE3" s="84"/>
      <c r="FTF3" s="84"/>
      <c r="FTG3" s="84"/>
      <c r="FTH3" s="84"/>
      <c r="FTI3" s="84"/>
      <c r="FTJ3" s="84"/>
      <c r="FTK3" s="84"/>
      <c r="FTL3" s="84"/>
      <c r="FTM3" s="84"/>
      <c r="FTN3" s="84"/>
      <c r="FTO3" s="84"/>
      <c r="FTP3" s="84"/>
      <c r="FTQ3" s="84"/>
      <c r="FTR3" s="84"/>
      <c r="FTS3" s="84"/>
      <c r="FTT3" s="84"/>
      <c r="FTU3" s="84"/>
      <c r="FTV3" s="84"/>
      <c r="FTW3" s="84"/>
      <c r="FTX3" s="84"/>
      <c r="FTY3" s="84"/>
      <c r="FTZ3" s="84"/>
      <c r="FUA3" s="84"/>
      <c r="FUB3" s="84"/>
      <c r="FUC3" s="84"/>
      <c r="FUD3" s="84"/>
      <c r="FUE3" s="84"/>
      <c r="FUF3" s="84"/>
      <c r="FUG3" s="84"/>
      <c r="FUH3" s="84"/>
      <c r="FUI3" s="84"/>
      <c r="FUJ3" s="84"/>
      <c r="FUK3" s="84"/>
      <c r="FUL3" s="84"/>
      <c r="FUM3" s="84"/>
      <c r="FUN3" s="84"/>
      <c r="FUO3" s="84"/>
      <c r="FUP3" s="84"/>
      <c r="FUQ3" s="84"/>
      <c r="FUR3" s="84"/>
      <c r="FUS3" s="84"/>
      <c r="FUT3" s="84"/>
      <c r="FUU3" s="84"/>
      <c r="FUV3" s="84"/>
      <c r="FUW3" s="84"/>
      <c r="FUX3" s="84"/>
      <c r="FUY3" s="84"/>
      <c r="FUZ3" s="84"/>
      <c r="FVA3" s="84"/>
      <c r="FVB3" s="84"/>
      <c r="FVC3" s="84"/>
      <c r="FVD3" s="84"/>
      <c r="FVE3" s="84"/>
      <c r="FVF3" s="84"/>
      <c r="FVG3" s="84"/>
      <c r="FVH3" s="84"/>
      <c r="FVI3" s="84"/>
      <c r="FVJ3" s="84"/>
      <c r="FVK3" s="84"/>
      <c r="FVL3" s="84"/>
      <c r="FVM3" s="84"/>
      <c r="FVN3" s="84"/>
      <c r="FVO3" s="84"/>
      <c r="FVP3" s="84"/>
      <c r="FVQ3" s="84"/>
      <c r="FVR3" s="84"/>
      <c r="FVS3" s="84"/>
      <c r="FVT3" s="84"/>
      <c r="FVU3" s="84"/>
      <c r="FVV3" s="84"/>
      <c r="FVW3" s="84"/>
      <c r="FVX3" s="84"/>
      <c r="FVY3" s="84"/>
      <c r="FVZ3" s="84"/>
      <c r="FWA3" s="84"/>
      <c r="FWB3" s="84"/>
      <c r="FWC3" s="84"/>
      <c r="FWD3" s="84"/>
      <c r="FWE3" s="84"/>
      <c r="FWF3" s="84"/>
      <c r="FWG3" s="84"/>
      <c r="FWH3" s="84"/>
      <c r="FWI3" s="84"/>
      <c r="FWJ3" s="84"/>
      <c r="FWK3" s="84"/>
      <c r="FWL3" s="84"/>
      <c r="FWM3" s="84"/>
      <c r="FWN3" s="84"/>
      <c r="FWO3" s="84"/>
      <c r="FWP3" s="84"/>
      <c r="FWQ3" s="84"/>
      <c r="FWR3" s="84"/>
      <c r="FWS3" s="84"/>
      <c r="FWT3" s="84"/>
      <c r="FWU3" s="84"/>
      <c r="FWV3" s="84"/>
      <c r="FWW3" s="84"/>
      <c r="FWX3" s="84"/>
      <c r="FWY3" s="84"/>
      <c r="FWZ3" s="84"/>
      <c r="FXA3" s="84"/>
      <c r="FXB3" s="84"/>
      <c r="FXC3" s="84"/>
      <c r="FXD3" s="84"/>
      <c r="FXE3" s="84"/>
      <c r="FXF3" s="84"/>
      <c r="FXG3" s="84"/>
      <c r="FXH3" s="84"/>
      <c r="FXI3" s="84"/>
      <c r="FXJ3" s="84"/>
      <c r="FXK3" s="84"/>
      <c r="FXL3" s="84"/>
      <c r="FXM3" s="84"/>
      <c r="FXN3" s="84"/>
      <c r="FXO3" s="84"/>
      <c r="FXP3" s="84"/>
      <c r="FXQ3" s="84"/>
      <c r="FXR3" s="84"/>
      <c r="FXS3" s="84"/>
      <c r="FXT3" s="84"/>
      <c r="FXU3" s="84"/>
      <c r="FXV3" s="84"/>
      <c r="FXW3" s="84"/>
      <c r="FXX3" s="84"/>
      <c r="FXY3" s="84"/>
      <c r="FXZ3" s="84"/>
      <c r="FYA3" s="84"/>
      <c r="FYB3" s="84"/>
      <c r="FYC3" s="84"/>
      <c r="FYD3" s="84"/>
      <c r="FYE3" s="84"/>
      <c r="FYF3" s="84"/>
      <c r="FYG3" s="84"/>
      <c r="FYH3" s="84"/>
      <c r="FYI3" s="84"/>
      <c r="FYJ3" s="84"/>
      <c r="FYK3" s="84"/>
      <c r="FYL3" s="84"/>
      <c r="FYM3" s="84"/>
      <c r="FYN3" s="84"/>
      <c r="FYO3" s="84"/>
      <c r="FYP3" s="84"/>
      <c r="FYQ3" s="84"/>
      <c r="FYR3" s="84"/>
      <c r="FYS3" s="84"/>
      <c r="FYT3" s="84"/>
      <c r="FYU3" s="84"/>
      <c r="FYV3" s="84"/>
      <c r="FYW3" s="84"/>
      <c r="FYX3" s="84"/>
      <c r="FYY3" s="84"/>
      <c r="FYZ3" s="84"/>
      <c r="FZA3" s="84"/>
      <c r="FZB3" s="84"/>
      <c r="FZC3" s="84"/>
      <c r="FZD3" s="84"/>
      <c r="FZE3" s="84"/>
      <c r="FZF3" s="84"/>
      <c r="FZG3" s="84"/>
      <c r="FZH3" s="84"/>
      <c r="FZI3" s="84"/>
      <c r="FZJ3" s="84"/>
      <c r="FZK3" s="84"/>
      <c r="FZL3" s="84"/>
      <c r="FZM3" s="84"/>
      <c r="FZN3" s="84"/>
      <c r="FZO3" s="84"/>
      <c r="FZP3" s="84"/>
      <c r="FZQ3" s="84"/>
      <c r="FZR3" s="84"/>
      <c r="FZS3" s="84"/>
      <c r="FZT3" s="84"/>
      <c r="FZU3" s="84"/>
      <c r="FZV3" s="84"/>
      <c r="FZW3" s="84"/>
      <c r="FZX3" s="84"/>
      <c r="FZY3" s="84"/>
      <c r="FZZ3" s="84"/>
      <c r="GAA3" s="84"/>
      <c r="GAB3" s="84"/>
      <c r="GAC3" s="84"/>
      <c r="GAD3" s="84"/>
      <c r="GAE3" s="84"/>
      <c r="GAF3" s="84"/>
      <c r="GAG3" s="84"/>
      <c r="GAH3" s="84"/>
      <c r="GAI3" s="84"/>
      <c r="GAJ3" s="84"/>
      <c r="GAK3" s="84"/>
      <c r="GAL3" s="84"/>
      <c r="GAM3" s="84"/>
      <c r="GAN3" s="84"/>
      <c r="GAO3" s="84"/>
      <c r="GAP3" s="84"/>
      <c r="GAQ3" s="84"/>
      <c r="GAR3" s="84"/>
      <c r="GAS3" s="84"/>
      <c r="GAT3" s="84"/>
      <c r="GAU3" s="84"/>
      <c r="GAV3" s="84"/>
      <c r="GAW3" s="84"/>
      <c r="GAX3" s="84"/>
      <c r="GAY3" s="84"/>
      <c r="GAZ3" s="84"/>
      <c r="GBA3" s="84"/>
      <c r="GBB3" s="84"/>
      <c r="GBC3" s="84"/>
      <c r="GBD3" s="84"/>
      <c r="GBE3" s="84"/>
      <c r="GBF3" s="84"/>
      <c r="GBG3" s="84"/>
      <c r="GBH3" s="84"/>
      <c r="GBI3" s="84"/>
      <c r="GBJ3" s="84"/>
      <c r="GBK3" s="84"/>
      <c r="GBL3" s="84"/>
      <c r="GBM3" s="84"/>
      <c r="GBN3" s="84"/>
      <c r="GBO3" s="84"/>
      <c r="GBP3" s="84"/>
      <c r="GBQ3" s="84"/>
      <c r="GBR3" s="84"/>
      <c r="GBS3" s="84"/>
      <c r="GBT3" s="84"/>
      <c r="GBU3" s="84"/>
      <c r="GBV3" s="84"/>
      <c r="GBW3" s="84"/>
      <c r="GBX3" s="84"/>
      <c r="GBY3" s="84"/>
      <c r="GBZ3" s="84"/>
      <c r="GCA3" s="84"/>
      <c r="GCB3" s="84"/>
      <c r="GCC3" s="84"/>
      <c r="GCD3" s="84"/>
      <c r="GCE3" s="84"/>
      <c r="GCF3" s="84"/>
      <c r="GCG3" s="84"/>
      <c r="GCH3" s="84"/>
      <c r="GCI3" s="84"/>
      <c r="GCJ3" s="84"/>
      <c r="GCK3" s="84"/>
      <c r="GCL3" s="84"/>
      <c r="GCM3" s="84"/>
      <c r="GCN3" s="84"/>
      <c r="GCO3" s="84"/>
      <c r="GCP3" s="84"/>
      <c r="GCQ3" s="84"/>
      <c r="GCR3" s="84"/>
      <c r="GCS3" s="84"/>
      <c r="GCT3" s="84"/>
      <c r="GCU3" s="84"/>
      <c r="GCV3" s="84"/>
      <c r="GCW3" s="84"/>
      <c r="GCX3" s="84"/>
      <c r="GCY3" s="84"/>
      <c r="GCZ3" s="84"/>
      <c r="GDA3" s="84"/>
      <c r="GDB3" s="84"/>
      <c r="GDC3" s="84"/>
      <c r="GDD3" s="84"/>
      <c r="GDE3" s="84"/>
      <c r="GDF3" s="84"/>
      <c r="GDG3" s="84"/>
      <c r="GDH3" s="84"/>
      <c r="GDI3" s="84"/>
      <c r="GDJ3" s="84"/>
      <c r="GDK3" s="84"/>
      <c r="GDL3" s="84"/>
      <c r="GDM3" s="84"/>
      <c r="GDN3" s="84"/>
      <c r="GDO3" s="84"/>
      <c r="GDP3" s="84"/>
      <c r="GDQ3" s="84"/>
      <c r="GDR3" s="84"/>
      <c r="GDS3" s="84"/>
      <c r="GDT3" s="84"/>
      <c r="GDU3" s="84"/>
      <c r="GDV3" s="84"/>
      <c r="GDW3" s="84"/>
      <c r="GDX3" s="84"/>
      <c r="GDY3" s="84"/>
      <c r="GDZ3" s="84"/>
      <c r="GEA3" s="84"/>
      <c r="GEB3" s="84"/>
      <c r="GEC3" s="84"/>
      <c r="GED3" s="84"/>
      <c r="GEE3" s="84"/>
      <c r="GEF3" s="84"/>
      <c r="GEG3" s="84"/>
      <c r="GEH3" s="84"/>
      <c r="GEI3" s="84"/>
      <c r="GEJ3" s="84"/>
      <c r="GEK3" s="84"/>
      <c r="GEL3" s="84"/>
      <c r="GEM3" s="84"/>
      <c r="GEN3" s="84"/>
      <c r="GEO3" s="84"/>
      <c r="GEP3" s="84"/>
      <c r="GEQ3" s="84"/>
      <c r="GER3" s="84"/>
      <c r="GES3" s="84"/>
      <c r="GET3" s="84"/>
      <c r="GEU3" s="84"/>
      <c r="GEV3" s="84"/>
      <c r="GEW3" s="84"/>
      <c r="GEX3" s="84"/>
      <c r="GEY3" s="84"/>
      <c r="GEZ3" s="84"/>
      <c r="GFA3" s="84"/>
      <c r="GFB3" s="84"/>
      <c r="GFC3" s="84"/>
      <c r="GFD3" s="84"/>
      <c r="GFE3" s="84"/>
      <c r="GFF3" s="84"/>
      <c r="GFG3" s="84"/>
      <c r="GFH3" s="84"/>
      <c r="GFI3" s="84"/>
      <c r="GFJ3" s="84"/>
      <c r="GFK3" s="84"/>
      <c r="GFL3" s="84"/>
      <c r="GFM3" s="84"/>
      <c r="GFN3" s="84"/>
      <c r="GFO3" s="84"/>
      <c r="GFP3" s="84"/>
      <c r="GFQ3" s="84"/>
      <c r="GFR3" s="84"/>
      <c r="GFS3" s="84"/>
      <c r="GFT3" s="84"/>
      <c r="GFU3" s="84"/>
      <c r="GFV3" s="84"/>
      <c r="GFW3" s="84"/>
      <c r="GFX3" s="84"/>
      <c r="GFY3" s="84"/>
      <c r="GFZ3" s="84"/>
      <c r="GGA3" s="84"/>
      <c r="GGB3" s="84"/>
      <c r="GGC3" s="84"/>
      <c r="GGD3" s="84"/>
      <c r="GGE3" s="84"/>
      <c r="GGF3" s="84"/>
      <c r="GGG3" s="84"/>
      <c r="GGH3" s="84"/>
      <c r="GGI3" s="84"/>
      <c r="GGJ3" s="84"/>
      <c r="GGK3" s="84"/>
      <c r="GGL3" s="84"/>
      <c r="GGM3" s="84"/>
      <c r="GGN3" s="84"/>
      <c r="GGO3" s="84"/>
      <c r="GGP3" s="84"/>
      <c r="GGQ3" s="84"/>
      <c r="GGR3" s="84"/>
      <c r="GGS3" s="84"/>
      <c r="GGT3" s="84"/>
      <c r="GGU3" s="84"/>
      <c r="GGV3" s="84"/>
      <c r="GGW3" s="84"/>
      <c r="GGX3" s="84"/>
      <c r="GGY3" s="84"/>
      <c r="GGZ3" s="84"/>
      <c r="GHA3" s="84"/>
      <c r="GHB3" s="84"/>
      <c r="GHC3" s="84"/>
      <c r="GHD3" s="84"/>
      <c r="GHE3" s="84"/>
      <c r="GHF3" s="84"/>
      <c r="GHG3" s="84"/>
      <c r="GHH3" s="84"/>
      <c r="GHI3" s="84"/>
      <c r="GHJ3" s="84"/>
      <c r="GHK3" s="84"/>
      <c r="GHL3" s="84"/>
      <c r="GHM3" s="84"/>
      <c r="GHN3" s="84"/>
      <c r="GHO3" s="84"/>
      <c r="GHP3" s="84"/>
      <c r="GHQ3" s="84"/>
      <c r="GHR3" s="84"/>
      <c r="GHS3" s="84"/>
      <c r="GHT3" s="84"/>
      <c r="GHU3" s="84"/>
      <c r="GHV3" s="84"/>
      <c r="GHW3" s="84"/>
      <c r="GHX3" s="84"/>
      <c r="GHY3" s="84"/>
      <c r="GHZ3" s="84"/>
      <c r="GIA3" s="84"/>
      <c r="GIB3" s="84"/>
      <c r="GIC3" s="84"/>
      <c r="GID3" s="84"/>
      <c r="GIE3" s="84"/>
      <c r="GIF3" s="84"/>
      <c r="GIG3" s="84"/>
      <c r="GIH3" s="84"/>
      <c r="GII3" s="84"/>
      <c r="GIJ3" s="84"/>
      <c r="GIK3" s="84"/>
      <c r="GIL3" s="84"/>
      <c r="GIM3" s="84"/>
      <c r="GIN3" s="84"/>
      <c r="GIO3" s="84"/>
      <c r="GIP3" s="84"/>
      <c r="GIQ3" s="84"/>
      <c r="GIR3" s="84"/>
      <c r="GIS3" s="84"/>
      <c r="GIT3" s="84"/>
      <c r="GIU3" s="84"/>
      <c r="GIV3" s="84"/>
      <c r="GIW3" s="84"/>
      <c r="GIX3" s="84"/>
      <c r="GIY3" s="84"/>
      <c r="GIZ3" s="84"/>
      <c r="GJA3" s="84"/>
      <c r="GJB3" s="84"/>
      <c r="GJC3" s="84"/>
      <c r="GJD3" s="84"/>
      <c r="GJE3" s="84"/>
      <c r="GJF3" s="84"/>
      <c r="GJG3" s="84"/>
      <c r="GJH3" s="84"/>
      <c r="GJI3" s="84"/>
      <c r="GJJ3" s="84"/>
      <c r="GJK3" s="84"/>
      <c r="GJL3" s="84"/>
      <c r="GJM3" s="84"/>
      <c r="GJN3" s="84"/>
      <c r="GJO3" s="84"/>
      <c r="GJP3" s="84"/>
      <c r="GJQ3" s="84"/>
      <c r="GJR3" s="84"/>
      <c r="GJS3" s="84"/>
      <c r="GJT3" s="84"/>
      <c r="GJU3" s="84"/>
      <c r="GJV3" s="84"/>
      <c r="GJW3" s="84"/>
      <c r="GJX3" s="84"/>
      <c r="GJY3" s="84"/>
      <c r="GJZ3" s="84"/>
      <c r="GKA3" s="84"/>
      <c r="GKB3" s="84"/>
      <c r="GKC3" s="84"/>
      <c r="GKD3" s="84"/>
      <c r="GKE3" s="84"/>
      <c r="GKF3" s="84"/>
      <c r="GKG3" s="84"/>
      <c r="GKH3" s="84"/>
      <c r="GKI3" s="84"/>
      <c r="GKJ3" s="84"/>
      <c r="GKK3" s="84"/>
      <c r="GKL3" s="84"/>
      <c r="GKM3" s="84"/>
      <c r="GKN3" s="84"/>
      <c r="GKO3" s="84"/>
      <c r="GKP3" s="84"/>
      <c r="GKQ3" s="84"/>
      <c r="GKR3" s="84"/>
      <c r="GKS3" s="84"/>
      <c r="GKT3" s="84"/>
      <c r="GKU3" s="84"/>
      <c r="GKV3" s="84"/>
      <c r="GKW3" s="84"/>
      <c r="GKX3" s="84"/>
      <c r="GKY3" s="84"/>
      <c r="GKZ3" s="84"/>
      <c r="GLA3" s="84"/>
      <c r="GLB3" s="84"/>
      <c r="GLC3" s="84"/>
      <c r="GLD3" s="84"/>
      <c r="GLE3" s="84"/>
      <c r="GLF3" s="84"/>
      <c r="GLG3" s="84"/>
      <c r="GLH3" s="84"/>
      <c r="GLI3" s="84"/>
      <c r="GLJ3" s="84"/>
      <c r="GLK3" s="84"/>
      <c r="GLL3" s="84"/>
      <c r="GLM3" s="84"/>
      <c r="GLN3" s="84"/>
      <c r="GLO3" s="84"/>
      <c r="GLP3" s="84"/>
      <c r="GLQ3" s="84"/>
      <c r="GLR3" s="84"/>
      <c r="GLS3" s="84"/>
      <c r="GLT3" s="84"/>
      <c r="GLU3" s="84"/>
      <c r="GLV3" s="84"/>
      <c r="GLW3" s="84"/>
      <c r="GLX3" s="84"/>
      <c r="GLY3" s="84"/>
      <c r="GLZ3" s="84"/>
      <c r="GMA3" s="84"/>
      <c r="GMB3" s="84"/>
      <c r="GMC3" s="84"/>
      <c r="GMD3" s="84"/>
      <c r="GME3" s="84"/>
      <c r="GMF3" s="84"/>
      <c r="GMG3" s="84"/>
      <c r="GMH3" s="84"/>
      <c r="GMI3" s="84"/>
      <c r="GMJ3" s="84"/>
      <c r="GMK3" s="84"/>
      <c r="GML3" s="84"/>
      <c r="GMM3" s="84"/>
      <c r="GMN3" s="84"/>
      <c r="GMO3" s="84"/>
      <c r="GMP3" s="84"/>
      <c r="GMQ3" s="84"/>
      <c r="GMR3" s="84"/>
      <c r="GMS3" s="84"/>
      <c r="GMT3" s="84"/>
      <c r="GMU3" s="84"/>
      <c r="GMV3" s="84"/>
      <c r="GMW3" s="84"/>
      <c r="GMX3" s="84"/>
      <c r="GMY3" s="84"/>
      <c r="GMZ3" s="84"/>
      <c r="GNA3" s="84"/>
      <c r="GNB3" s="84"/>
      <c r="GNC3" s="84"/>
      <c r="GND3" s="84"/>
      <c r="GNE3" s="84"/>
      <c r="GNF3" s="84"/>
      <c r="GNG3" s="84"/>
      <c r="GNH3" s="84"/>
      <c r="GNI3" s="84"/>
      <c r="GNJ3" s="84"/>
      <c r="GNK3" s="84"/>
      <c r="GNL3" s="84"/>
      <c r="GNM3" s="84"/>
      <c r="GNN3" s="84"/>
      <c r="GNO3" s="84"/>
      <c r="GNP3" s="84"/>
      <c r="GNQ3" s="84"/>
      <c r="GNR3" s="84"/>
      <c r="GNS3" s="84"/>
      <c r="GNT3" s="84"/>
      <c r="GNU3" s="84"/>
      <c r="GNV3" s="84"/>
      <c r="GNW3" s="84"/>
      <c r="GNX3" s="84"/>
      <c r="GNY3" s="84"/>
      <c r="GNZ3" s="84"/>
      <c r="GOA3" s="84"/>
      <c r="GOB3" s="84"/>
      <c r="GOC3" s="84"/>
      <c r="GOD3" s="84"/>
      <c r="GOE3" s="84"/>
      <c r="GOF3" s="84"/>
      <c r="GOG3" s="84"/>
      <c r="GOH3" s="84"/>
      <c r="GOI3" s="84"/>
      <c r="GOJ3" s="84"/>
      <c r="GOK3" s="84"/>
      <c r="GOL3" s="84"/>
      <c r="GOM3" s="84"/>
      <c r="GON3" s="84"/>
      <c r="GOO3" s="84"/>
      <c r="GOP3" s="84"/>
      <c r="GOQ3" s="84"/>
      <c r="GOR3" s="84"/>
      <c r="GOS3" s="84"/>
      <c r="GOT3" s="84"/>
      <c r="GOU3" s="84"/>
      <c r="GOV3" s="84"/>
      <c r="GOW3" s="84"/>
      <c r="GOX3" s="84"/>
      <c r="GOY3" s="84"/>
      <c r="GOZ3" s="84"/>
      <c r="GPA3" s="84"/>
      <c r="GPB3" s="84"/>
      <c r="GPC3" s="84"/>
      <c r="GPD3" s="84"/>
      <c r="GPE3" s="84"/>
      <c r="GPF3" s="84"/>
      <c r="GPG3" s="84"/>
      <c r="GPH3" s="84"/>
      <c r="GPI3" s="84"/>
      <c r="GPJ3" s="84"/>
      <c r="GPK3" s="84"/>
      <c r="GPL3" s="84"/>
      <c r="GPM3" s="84"/>
      <c r="GPN3" s="84"/>
      <c r="GPO3" s="84"/>
      <c r="GPP3" s="84"/>
      <c r="GPQ3" s="84"/>
      <c r="GPR3" s="84"/>
      <c r="GPS3" s="84"/>
      <c r="GPT3" s="84"/>
      <c r="GPU3" s="84"/>
      <c r="GPV3" s="84"/>
      <c r="GPW3" s="84"/>
      <c r="GPX3" s="84"/>
      <c r="GPY3" s="84"/>
      <c r="GPZ3" s="84"/>
      <c r="GQA3" s="84"/>
      <c r="GQB3" s="84"/>
      <c r="GQC3" s="84"/>
      <c r="GQD3" s="84"/>
      <c r="GQE3" s="84"/>
      <c r="GQF3" s="84"/>
      <c r="GQG3" s="84"/>
      <c r="GQH3" s="84"/>
      <c r="GQI3" s="84"/>
      <c r="GQJ3" s="84"/>
      <c r="GQK3" s="84"/>
      <c r="GQL3" s="84"/>
      <c r="GQM3" s="84"/>
      <c r="GQN3" s="84"/>
      <c r="GQO3" s="84"/>
      <c r="GQP3" s="84"/>
      <c r="GQQ3" s="84"/>
      <c r="GQR3" s="84"/>
      <c r="GQS3" s="84"/>
      <c r="GQT3" s="84"/>
      <c r="GQU3" s="84"/>
      <c r="GQV3" s="84"/>
      <c r="GQW3" s="84"/>
      <c r="GQX3" s="84"/>
      <c r="GQY3" s="84"/>
      <c r="GQZ3" s="84"/>
      <c r="GRA3" s="84"/>
      <c r="GRB3" s="84"/>
      <c r="GRC3" s="84"/>
      <c r="GRD3" s="84"/>
      <c r="GRE3" s="84"/>
      <c r="GRF3" s="84"/>
      <c r="GRG3" s="84"/>
      <c r="GRH3" s="84"/>
      <c r="GRI3" s="84"/>
      <c r="GRJ3" s="84"/>
      <c r="GRK3" s="84"/>
      <c r="GRL3" s="84"/>
      <c r="GRM3" s="84"/>
      <c r="GRN3" s="84"/>
      <c r="GRO3" s="84"/>
      <c r="GRP3" s="84"/>
      <c r="GRQ3" s="84"/>
      <c r="GRR3" s="84"/>
      <c r="GRS3" s="84"/>
      <c r="GRT3" s="84"/>
      <c r="GRU3" s="84"/>
      <c r="GRV3" s="84"/>
      <c r="GRW3" s="84"/>
      <c r="GRX3" s="84"/>
      <c r="GRY3" s="84"/>
      <c r="GRZ3" s="84"/>
      <c r="GSA3" s="84"/>
      <c r="GSB3" s="84"/>
      <c r="GSC3" s="84"/>
      <c r="GSD3" s="84"/>
      <c r="GSE3" s="84"/>
      <c r="GSF3" s="84"/>
      <c r="GSG3" s="84"/>
      <c r="GSH3" s="84"/>
      <c r="GSI3" s="84"/>
      <c r="GSJ3" s="84"/>
      <c r="GSK3" s="84"/>
      <c r="GSL3" s="84"/>
      <c r="GSM3" s="84"/>
      <c r="GSN3" s="84"/>
      <c r="GSO3" s="84"/>
      <c r="GSP3" s="84"/>
      <c r="GSQ3" s="84"/>
      <c r="GSR3" s="84"/>
      <c r="GSS3" s="84"/>
      <c r="GST3" s="84"/>
      <c r="GSU3" s="84"/>
      <c r="GSV3" s="84"/>
      <c r="GSW3" s="84"/>
      <c r="GSX3" s="84"/>
      <c r="GSY3" s="84"/>
      <c r="GSZ3" s="84"/>
      <c r="GTA3" s="84"/>
      <c r="GTB3" s="84"/>
      <c r="GTC3" s="84"/>
      <c r="GTD3" s="84"/>
      <c r="GTE3" s="84"/>
      <c r="GTF3" s="84"/>
      <c r="GTG3" s="84"/>
      <c r="GTH3" s="84"/>
      <c r="GTI3" s="84"/>
      <c r="GTJ3" s="84"/>
      <c r="GTK3" s="84"/>
      <c r="GTL3" s="84"/>
      <c r="GTM3" s="84"/>
      <c r="GTN3" s="84"/>
      <c r="GTO3" s="84"/>
      <c r="GTP3" s="84"/>
      <c r="GTQ3" s="84"/>
      <c r="GTR3" s="84"/>
      <c r="GTS3" s="84"/>
      <c r="GTT3" s="84"/>
      <c r="GTU3" s="84"/>
      <c r="GTV3" s="84"/>
      <c r="GTW3" s="84"/>
      <c r="GTX3" s="84"/>
      <c r="GTY3" s="84"/>
      <c r="GTZ3" s="84"/>
      <c r="GUA3" s="84"/>
      <c r="GUB3" s="84"/>
      <c r="GUC3" s="84"/>
      <c r="GUD3" s="84"/>
      <c r="GUE3" s="84"/>
      <c r="GUF3" s="84"/>
      <c r="GUG3" s="84"/>
      <c r="GUH3" s="84"/>
      <c r="GUI3" s="84"/>
      <c r="GUJ3" s="84"/>
      <c r="GUK3" s="84"/>
      <c r="GUL3" s="84"/>
      <c r="GUM3" s="84"/>
      <c r="GUN3" s="84"/>
      <c r="GUO3" s="84"/>
      <c r="GUP3" s="84"/>
      <c r="GUQ3" s="84"/>
      <c r="GUR3" s="84"/>
      <c r="GUS3" s="84"/>
      <c r="GUT3" s="84"/>
      <c r="GUU3" s="84"/>
      <c r="GUV3" s="84"/>
      <c r="GUW3" s="84"/>
      <c r="GUX3" s="84"/>
      <c r="GUY3" s="84"/>
      <c r="GUZ3" s="84"/>
      <c r="GVA3" s="84"/>
      <c r="GVB3" s="84"/>
      <c r="GVC3" s="84"/>
      <c r="GVD3" s="84"/>
      <c r="GVE3" s="84"/>
      <c r="GVF3" s="84"/>
      <c r="GVG3" s="84"/>
      <c r="GVH3" s="84"/>
      <c r="GVI3" s="84"/>
      <c r="GVJ3" s="84"/>
      <c r="GVK3" s="84"/>
      <c r="GVL3" s="84"/>
      <c r="GVM3" s="84"/>
      <c r="GVN3" s="84"/>
      <c r="GVO3" s="84"/>
      <c r="GVP3" s="84"/>
      <c r="GVQ3" s="84"/>
      <c r="GVR3" s="84"/>
      <c r="GVS3" s="84"/>
      <c r="GVT3" s="84"/>
      <c r="GVU3" s="84"/>
      <c r="GVV3" s="84"/>
      <c r="GVW3" s="84"/>
      <c r="GVX3" s="84"/>
      <c r="GVY3" s="84"/>
      <c r="GVZ3" s="84"/>
      <c r="GWA3" s="84"/>
      <c r="GWB3" s="84"/>
      <c r="GWC3" s="84"/>
      <c r="GWD3" s="84"/>
      <c r="GWE3" s="84"/>
      <c r="GWF3" s="84"/>
      <c r="GWG3" s="84"/>
      <c r="GWH3" s="84"/>
      <c r="GWI3" s="84"/>
      <c r="GWJ3" s="84"/>
      <c r="GWK3" s="84"/>
      <c r="GWL3" s="84"/>
      <c r="GWM3" s="84"/>
      <c r="GWN3" s="84"/>
      <c r="GWO3" s="84"/>
      <c r="GWP3" s="84"/>
      <c r="GWQ3" s="84"/>
      <c r="GWR3" s="84"/>
      <c r="GWS3" s="84"/>
      <c r="GWT3" s="84"/>
      <c r="GWU3" s="84"/>
      <c r="GWV3" s="84"/>
      <c r="GWW3" s="84"/>
      <c r="GWX3" s="84"/>
      <c r="GWY3" s="84"/>
      <c r="GWZ3" s="84"/>
      <c r="GXA3" s="84"/>
      <c r="GXB3" s="84"/>
      <c r="GXC3" s="84"/>
      <c r="GXD3" s="84"/>
      <c r="GXE3" s="84"/>
      <c r="GXF3" s="84"/>
      <c r="GXG3" s="84"/>
      <c r="GXH3" s="84"/>
      <c r="GXI3" s="84"/>
      <c r="GXJ3" s="84"/>
      <c r="GXK3" s="84"/>
      <c r="GXL3" s="84"/>
      <c r="GXM3" s="84"/>
      <c r="GXN3" s="84"/>
      <c r="GXO3" s="84"/>
      <c r="GXP3" s="84"/>
      <c r="GXQ3" s="84"/>
      <c r="GXR3" s="84"/>
      <c r="GXS3" s="84"/>
      <c r="GXT3" s="84"/>
      <c r="GXU3" s="84"/>
      <c r="GXV3" s="84"/>
      <c r="GXW3" s="84"/>
      <c r="GXX3" s="84"/>
      <c r="GXY3" s="84"/>
      <c r="GXZ3" s="84"/>
      <c r="GYA3" s="84"/>
      <c r="GYB3" s="84"/>
      <c r="GYC3" s="84"/>
      <c r="GYD3" s="84"/>
      <c r="GYE3" s="84"/>
      <c r="GYF3" s="84"/>
      <c r="GYG3" s="84"/>
      <c r="GYH3" s="84"/>
      <c r="GYI3" s="84"/>
      <c r="GYJ3" s="84"/>
      <c r="GYK3" s="84"/>
      <c r="GYL3" s="84"/>
      <c r="GYM3" s="84"/>
      <c r="GYN3" s="84"/>
      <c r="GYO3" s="84"/>
      <c r="GYP3" s="84"/>
      <c r="GYQ3" s="84"/>
      <c r="GYR3" s="84"/>
      <c r="GYS3" s="84"/>
      <c r="GYT3" s="84"/>
      <c r="GYU3" s="84"/>
      <c r="GYV3" s="84"/>
      <c r="GYW3" s="84"/>
      <c r="GYX3" s="84"/>
      <c r="GYY3" s="84"/>
      <c r="GYZ3" s="84"/>
      <c r="GZA3" s="84"/>
      <c r="GZB3" s="84"/>
      <c r="GZC3" s="84"/>
      <c r="GZD3" s="84"/>
      <c r="GZE3" s="84"/>
      <c r="GZF3" s="84"/>
      <c r="GZG3" s="84"/>
      <c r="GZH3" s="84"/>
      <c r="GZI3" s="84"/>
      <c r="GZJ3" s="84"/>
      <c r="GZK3" s="84"/>
      <c r="GZL3" s="84"/>
      <c r="GZM3" s="84"/>
      <c r="GZN3" s="84"/>
      <c r="GZO3" s="84"/>
      <c r="GZP3" s="84"/>
      <c r="GZQ3" s="84"/>
      <c r="GZR3" s="84"/>
      <c r="GZS3" s="84"/>
      <c r="GZT3" s="84"/>
      <c r="GZU3" s="84"/>
      <c r="GZV3" s="84"/>
      <c r="GZW3" s="84"/>
      <c r="GZX3" s="84"/>
      <c r="GZY3" s="84"/>
      <c r="GZZ3" s="84"/>
      <c r="HAA3" s="84"/>
      <c r="HAB3" s="84"/>
      <c r="HAC3" s="84"/>
      <c r="HAD3" s="84"/>
      <c r="HAE3" s="84"/>
      <c r="HAF3" s="84"/>
      <c r="HAG3" s="84"/>
      <c r="HAH3" s="84"/>
      <c r="HAI3" s="84"/>
      <c r="HAJ3" s="84"/>
      <c r="HAK3" s="84"/>
      <c r="HAL3" s="84"/>
      <c r="HAM3" s="84"/>
      <c r="HAN3" s="84"/>
      <c r="HAO3" s="84"/>
      <c r="HAP3" s="84"/>
      <c r="HAQ3" s="84"/>
      <c r="HAR3" s="84"/>
      <c r="HAS3" s="84"/>
      <c r="HAT3" s="84"/>
      <c r="HAU3" s="84"/>
      <c r="HAV3" s="84"/>
      <c r="HAW3" s="84"/>
      <c r="HAX3" s="84"/>
      <c r="HAY3" s="84"/>
      <c r="HAZ3" s="84"/>
      <c r="HBA3" s="84"/>
      <c r="HBB3" s="84"/>
      <c r="HBC3" s="84"/>
      <c r="HBD3" s="84"/>
      <c r="HBE3" s="84"/>
      <c r="HBF3" s="84"/>
      <c r="HBG3" s="84"/>
      <c r="HBH3" s="84"/>
      <c r="HBI3" s="84"/>
      <c r="HBJ3" s="84"/>
      <c r="HBK3" s="84"/>
      <c r="HBL3" s="84"/>
      <c r="HBM3" s="84"/>
      <c r="HBN3" s="84"/>
      <c r="HBO3" s="84"/>
      <c r="HBP3" s="84"/>
      <c r="HBQ3" s="84"/>
      <c r="HBR3" s="84"/>
      <c r="HBS3" s="84"/>
      <c r="HBT3" s="84"/>
      <c r="HBU3" s="84"/>
      <c r="HBV3" s="84"/>
      <c r="HBW3" s="84"/>
      <c r="HBX3" s="84"/>
      <c r="HBY3" s="84"/>
      <c r="HBZ3" s="84"/>
      <c r="HCA3" s="84"/>
      <c r="HCB3" s="84"/>
      <c r="HCC3" s="84"/>
      <c r="HCD3" s="84"/>
      <c r="HCE3" s="84"/>
      <c r="HCF3" s="84"/>
      <c r="HCG3" s="84"/>
      <c r="HCH3" s="84"/>
      <c r="HCI3" s="84"/>
      <c r="HCJ3" s="84"/>
      <c r="HCK3" s="84"/>
      <c r="HCL3" s="84"/>
      <c r="HCM3" s="84"/>
      <c r="HCN3" s="84"/>
      <c r="HCO3" s="84"/>
      <c r="HCP3" s="84"/>
      <c r="HCQ3" s="84"/>
      <c r="HCR3" s="84"/>
      <c r="HCS3" s="84"/>
      <c r="HCT3" s="84"/>
      <c r="HCU3" s="84"/>
      <c r="HCV3" s="84"/>
      <c r="HCW3" s="84"/>
      <c r="HCX3" s="84"/>
      <c r="HCY3" s="84"/>
      <c r="HCZ3" s="84"/>
      <c r="HDA3" s="84"/>
      <c r="HDB3" s="84"/>
      <c r="HDC3" s="84"/>
      <c r="HDD3" s="84"/>
      <c r="HDE3" s="84"/>
      <c r="HDF3" s="84"/>
      <c r="HDG3" s="84"/>
      <c r="HDH3" s="84"/>
      <c r="HDI3" s="84"/>
      <c r="HDJ3" s="84"/>
      <c r="HDK3" s="84"/>
      <c r="HDL3" s="84"/>
      <c r="HDM3" s="84"/>
      <c r="HDN3" s="84"/>
      <c r="HDO3" s="84"/>
      <c r="HDP3" s="84"/>
      <c r="HDQ3" s="84"/>
      <c r="HDR3" s="84"/>
      <c r="HDS3" s="84"/>
      <c r="HDT3" s="84"/>
      <c r="HDU3" s="84"/>
      <c r="HDV3" s="84"/>
      <c r="HDW3" s="84"/>
      <c r="HDX3" s="84"/>
      <c r="HDY3" s="84"/>
      <c r="HDZ3" s="84"/>
      <c r="HEA3" s="84"/>
      <c r="HEB3" s="84"/>
      <c r="HEC3" s="84"/>
      <c r="HED3" s="84"/>
      <c r="HEE3" s="84"/>
      <c r="HEF3" s="84"/>
      <c r="HEG3" s="84"/>
      <c r="HEH3" s="84"/>
      <c r="HEI3" s="84"/>
      <c r="HEJ3" s="84"/>
      <c r="HEK3" s="84"/>
      <c r="HEL3" s="84"/>
      <c r="HEM3" s="84"/>
      <c r="HEN3" s="84"/>
      <c r="HEO3" s="84"/>
      <c r="HEP3" s="84"/>
      <c r="HEQ3" s="84"/>
      <c r="HER3" s="84"/>
      <c r="HES3" s="84"/>
      <c r="HET3" s="84"/>
      <c r="HEU3" s="84"/>
      <c r="HEV3" s="84"/>
      <c r="HEW3" s="84"/>
      <c r="HEX3" s="84"/>
      <c r="HEY3" s="84"/>
      <c r="HEZ3" s="84"/>
      <c r="HFA3" s="84"/>
      <c r="HFB3" s="84"/>
      <c r="HFC3" s="84"/>
      <c r="HFD3" s="84"/>
      <c r="HFE3" s="84"/>
      <c r="HFF3" s="84"/>
      <c r="HFG3" s="84"/>
      <c r="HFH3" s="84"/>
      <c r="HFI3" s="84"/>
      <c r="HFJ3" s="84"/>
      <c r="HFK3" s="84"/>
      <c r="HFL3" s="84"/>
      <c r="HFM3" s="84"/>
      <c r="HFN3" s="84"/>
      <c r="HFO3" s="84"/>
      <c r="HFP3" s="84"/>
      <c r="HFQ3" s="84"/>
      <c r="HFR3" s="84"/>
      <c r="HFS3" s="84"/>
      <c r="HFT3" s="84"/>
      <c r="HFU3" s="84"/>
      <c r="HFV3" s="84"/>
      <c r="HFW3" s="84"/>
      <c r="HFX3" s="84"/>
      <c r="HFY3" s="84"/>
      <c r="HFZ3" s="84"/>
      <c r="HGA3" s="84"/>
      <c r="HGB3" s="84"/>
      <c r="HGC3" s="84"/>
      <c r="HGD3" s="84"/>
      <c r="HGE3" s="84"/>
      <c r="HGF3" s="84"/>
      <c r="HGG3" s="84"/>
      <c r="HGH3" s="84"/>
      <c r="HGI3" s="84"/>
      <c r="HGJ3" s="84"/>
      <c r="HGK3" s="84"/>
      <c r="HGL3" s="84"/>
      <c r="HGM3" s="84"/>
      <c r="HGN3" s="84"/>
      <c r="HGO3" s="84"/>
      <c r="HGP3" s="84"/>
      <c r="HGQ3" s="84"/>
      <c r="HGR3" s="84"/>
      <c r="HGS3" s="84"/>
      <c r="HGT3" s="84"/>
      <c r="HGU3" s="84"/>
      <c r="HGV3" s="84"/>
      <c r="HGW3" s="84"/>
      <c r="HGX3" s="84"/>
      <c r="HGY3" s="84"/>
      <c r="HGZ3" s="84"/>
      <c r="HHA3" s="84"/>
      <c r="HHB3" s="84"/>
      <c r="HHC3" s="84"/>
      <c r="HHD3" s="84"/>
      <c r="HHE3" s="84"/>
      <c r="HHF3" s="84"/>
      <c r="HHG3" s="84"/>
      <c r="HHH3" s="84"/>
      <c r="HHI3" s="84"/>
      <c r="HHJ3" s="84"/>
      <c r="HHK3" s="84"/>
      <c r="HHL3" s="84"/>
      <c r="HHM3" s="84"/>
      <c r="HHN3" s="84"/>
      <c r="HHO3" s="84"/>
      <c r="HHP3" s="84"/>
      <c r="HHQ3" s="84"/>
      <c r="HHR3" s="84"/>
      <c r="HHS3" s="84"/>
      <c r="HHT3" s="84"/>
      <c r="HHU3" s="84"/>
      <c r="HHV3" s="84"/>
      <c r="HHW3" s="84"/>
      <c r="HHX3" s="84"/>
      <c r="HHY3" s="84"/>
      <c r="HHZ3" s="84"/>
      <c r="HIA3" s="84"/>
      <c r="HIB3" s="84"/>
      <c r="HIC3" s="84"/>
      <c r="HID3" s="84"/>
      <c r="HIE3" s="84"/>
      <c r="HIF3" s="84"/>
      <c r="HIG3" s="84"/>
      <c r="HIH3" s="84"/>
      <c r="HII3" s="84"/>
      <c r="HIJ3" s="84"/>
      <c r="HIK3" s="84"/>
      <c r="HIL3" s="84"/>
      <c r="HIM3" s="84"/>
      <c r="HIN3" s="84"/>
      <c r="HIO3" s="84"/>
      <c r="HIP3" s="84"/>
      <c r="HIQ3" s="84"/>
      <c r="HIR3" s="84"/>
      <c r="HIS3" s="84"/>
      <c r="HIT3" s="84"/>
      <c r="HIU3" s="84"/>
      <c r="HIV3" s="84"/>
      <c r="HIW3" s="84"/>
      <c r="HIX3" s="84"/>
      <c r="HIY3" s="84"/>
      <c r="HIZ3" s="84"/>
      <c r="HJA3" s="84"/>
      <c r="HJB3" s="84"/>
      <c r="HJC3" s="84"/>
      <c r="HJD3" s="84"/>
      <c r="HJE3" s="84"/>
      <c r="HJF3" s="84"/>
      <c r="HJG3" s="84"/>
      <c r="HJH3" s="84"/>
      <c r="HJI3" s="84"/>
      <c r="HJJ3" s="84"/>
      <c r="HJK3" s="84"/>
      <c r="HJL3" s="84"/>
      <c r="HJM3" s="84"/>
      <c r="HJN3" s="84"/>
      <c r="HJO3" s="84"/>
      <c r="HJP3" s="84"/>
      <c r="HJQ3" s="84"/>
      <c r="HJR3" s="84"/>
      <c r="HJS3" s="84"/>
      <c r="HJT3" s="84"/>
      <c r="HJU3" s="84"/>
      <c r="HJV3" s="84"/>
      <c r="HJW3" s="84"/>
      <c r="HJX3" s="84"/>
      <c r="HJY3" s="84"/>
      <c r="HJZ3" s="84"/>
      <c r="HKA3" s="84"/>
      <c r="HKB3" s="84"/>
      <c r="HKC3" s="84"/>
      <c r="HKD3" s="84"/>
      <c r="HKE3" s="84"/>
      <c r="HKF3" s="84"/>
      <c r="HKG3" s="84"/>
      <c r="HKH3" s="84"/>
      <c r="HKI3" s="84"/>
      <c r="HKJ3" s="84"/>
      <c r="HKK3" s="84"/>
      <c r="HKL3" s="84"/>
      <c r="HKM3" s="84"/>
      <c r="HKN3" s="84"/>
      <c r="HKO3" s="84"/>
      <c r="HKP3" s="84"/>
      <c r="HKQ3" s="84"/>
      <c r="HKR3" s="84"/>
      <c r="HKS3" s="84"/>
      <c r="HKT3" s="84"/>
      <c r="HKU3" s="84"/>
      <c r="HKV3" s="84"/>
      <c r="HKW3" s="84"/>
      <c r="HKX3" s="84"/>
      <c r="HKY3" s="84"/>
      <c r="HKZ3" s="84"/>
      <c r="HLA3" s="84"/>
      <c r="HLB3" s="84"/>
      <c r="HLC3" s="84"/>
      <c r="HLD3" s="84"/>
      <c r="HLE3" s="84"/>
      <c r="HLF3" s="84"/>
      <c r="HLG3" s="84"/>
      <c r="HLH3" s="84"/>
      <c r="HLI3" s="84"/>
      <c r="HLJ3" s="84"/>
      <c r="HLK3" s="84"/>
      <c r="HLL3" s="84"/>
      <c r="HLM3" s="84"/>
      <c r="HLN3" s="84"/>
      <c r="HLO3" s="84"/>
      <c r="HLP3" s="84"/>
      <c r="HLQ3" s="84"/>
      <c r="HLR3" s="84"/>
      <c r="HLS3" s="84"/>
      <c r="HLT3" s="84"/>
      <c r="HLU3" s="84"/>
      <c r="HLV3" s="84"/>
      <c r="HLW3" s="84"/>
      <c r="HLX3" s="84"/>
      <c r="HLY3" s="84"/>
      <c r="HLZ3" s="84"/>
      <c r="HMA3" s="84"/>
      <c r="HMB3" s="84"/>
      <c r="HMC3" s="84"/>
      <c r="HMD3" s="84"/>
      <c r="HME3" s="84"/>
      <c r="HMF3" s="84"/>
      <c r="HMG3" s="84"/>
      <c r="HMH3" s="84"/>
      <c r="HMI3" s="84"/>
      <c r="HMJ3" s="84"/>
      <c r="HMK3" s="84"/>
      <c r="HML3" s="84"/>
      <c r="HMM3" s="84"/>
      <c r="HMN3" s="84"/>
      <c r="HMO3" s="84"/>
      <c r="HMP3" s="84"/>
      <c r="HMQ3" s="84"/>
      <c r="HMR3" s="84"/>
      <c r="HMS3" s="84"/>
      <c r="HMT3" s="84"/>
      <c r="HMU3" s="84"/>
      <c r="HMV3" s="84"/>
      <c r="HMW3" s="84"/>
      <c r="HMX3" s="84"/>
      <c r="HMY3" s="84"/>
      <c r="HMZ3" s="84"/>
      <c r="HNA3" s="84"/>
      <c r="HNB3" s="84"/>
      <c r="HNC3" s="84"/>
      <c r="HND3" s="84"/>
      <c r="HNE3" s="84"/>
      <c r="HNF3" s="84"/>
      <c r="HNG3" s="84"/>
      <c r="HNH3" s="84"/>
      <c r="HNI3" s="84"/>
      <c r="HNJ3" s="84"/>
      <c r="HNK3" s="84"/>
      <c r="HNL3" s="84"/>
      <c r="HNM3" s="84"/>
      <c r="HNN3" s="84"/>
      <c r="HNO3" s="84"/>
      <c r="HNP3" s="84"/>
      <c r="HNQ3" s="84"/>
      <c r="HNR3" s="84"/>
      <c r="HNS3" s="84"/>
      <c r="HNT3" s="84"/>
      <c r="HNU3" s="84"/>
      <c r="HNV3" s="84"/>
      <c r="HNW3" s="84"/>
      <c r="HNX3" s="84"/>
      <c r="HNY3" s="84"/>
      <c r="HNZ3" s="84"/>
      <c r="HOA3" s="84"/>
      <c r="HOB3" s="84"/>
      <c r="HOC3" s="84"/>
      <c r="HOD3" s="84"/>
      <c r="HOE3" s="84"/>
      <c r="HOF3" s="84"/>
      <c r="HOG3" s="84"/>
      <c r="HOH3" s="84"/>
      <c r="HOI3" s="84"/>
      <c r="HOJ3" s="84"/>
      <c r="HOK3" s="84"/>
      <c r="HOL3" s="84"/>
      <c r="HOM3" s="84"/>
      <c r="HON3" s="84"/>
      <c r="HOO3" s="84"/>
      <c r="HOP3" s="84"/>
      <c r="HOQ3" s="84"/>
      <c r="HOR3" s="84"/>
      <c r="HOS3" s="84"/>
      <c r="HOT3" s="84"/>
      <c r="HOU3" s="84"/>
      <c r="HOV3" s="84"/>
      <c r="HOW3" s="84"/>
      <c r="HOX3" s="84"/>
      <c r="HOY3" s="84"/>
      <c r="HOZ3" s="84"/>
      <c r="HPA3" s="84"/>
      <c r="HPB3" s="84"/>
      <c r="HPC3" s="84"/>
      <c r="HPD3" s="84"/>
      <c r="HPE3" s="84"/>
      <c r="HPF3" s="84"/>
      <c r="HPG3" s="84"/>
      <c r="HPH3" s="84"/>
      <c r="HPI3" s="84"/>
      <c r="HPJ3" s="84"/>
      <c r="HPK3" s="84"/>
      <c r="HPL3" s="84"/>
      <c r="HPM3" s="84"/>
      <c r="HPN3" s="84"/>
      <c r="HPO3" s="84"/>
      <c r="HPP3" s="84"/>
      <c r="HPQ3" s="84"/>
      <c r="HPR3" s="84"/>
      <c r="HPS3" s="84"/>
      <c r="HPT3" s="84"/>
      <c r="HPU3" s="84"/>
      <c r="HPV3" s="84"/>
      <c r="HPW3" s="84"/>
      <c r="HPX3" s="84"/>
      <c r="HPY3" s="84"/>
      <c r="HPZ3" s="84"/>
      <c r="HQA3" s="84"/>
      <c r="HQB3" s="84"/>
      <c r="HQC3" s="84"/>
      <c r="HQD3" s="84"/>
      <c r="HQE3" s="84"/>
      <c r="HQF3" s="84"/>
      <c r="HQG3" s="84"/>
      <c r="HQH3" s="84"/>
      <c r="HQI3" s="84"/>
      <c r="HQJ3" s="84"/>
      <c r="HQK3" s="84"/>
      <c r="HQL3" s="84"/>
      <c r="HQM3" s="84"/>
      <c r="HQN3" s="84"/>
      <c r="HQO3" s="84"/>
      <c r="HQP3" s="84"/>
      <c r="HQQ3" s="84"/>
      <c r="HQR3" s="84"/>
      <c r="HQS3" s="84"/>
      <c r="HQT3" s="84"/>
      <c r="HQU3" s="84"/>
      <c r="HQV3" s="84"/>
      <c r="HQW3" s="84"/>
      <c r="HQX3" s="84"/>
      <c r="HQY3" s="84"/>
      <c r="HQZ3" s="84"/>
      <c r="HRA3" s="84"/>
      <c r="HRB3" s="84"/>
      <c r="HRC3" s="84"/>
      <c r="HRD3" s="84"/>
      <c r="HRE3" s="84"/>
      <c r="HRF3" s="84"/>
      <c r="HRG3" s="84"/>
      <c r="HRH3" s="84"/>
      <c r="HRI3" s="84"/>
      <c r="HRJ3" s="84"/>
      <c r="HRK3" s="84"/>
      <c r="HRL3" s="84"/>
      <c r="HRM3" s="84"/>
      <c r="HRN3" s="84"/>
      <c r="HRO3" s="84"/>
      <c r="HRP3" s="84"/>
      <c r="HRQ3" s="84"/>
      <c r="HRR3" s="84"/>
      <c r="HRS3" s="84"/>
      <c r="HRT3" s="84"/>
      <c r="HRU3" s="84"/>
      <c r="HRV3" s="84"/>
      <c r="HRW3" s="84"/>
      <c r="HRX3" s="84"/>
      <c r="HRY3" s="84"/>
      <c r="HRZ3" s="84"/>
      <c r="HSA3" s="84"/>
      <c r="HSB3" s="84"/>
      <c r="HSC3" s="84"/>
      <c r="HSD3" s="84"/>
      <c r="HSE3" s="84"/>
      <c r="HSF3" s="84"/>
      <c r="HSG3" s="84"/>
      <c r="HSH3" s="84"/>
      <c r="HSI3" s="84"/>
      <c r="HSJ3" s="84"/>
      <c r="HSK3" s="84"/>
      <c r="HSL3" s="84"/>
      <c r="HSM3" s="84"/>
      <c r="HSN3" s="84"/>
      <c r="HSO3" s="84"/>
      <c r="HSP3" s="84"/>
      <c r="HSQ3" s="84"/>
      <c r="HSR3" s="84"/>
      <c r="HSS3" s="84"/>
      <c r="HST3" s="84"/>
      <c r="HSU3" s="84"/>
      <c r="HSV3" s="84"/>
      <c r="HSW3" s="84"/>
      <c r="HSX3" s="84"/>
      <c r="HSY3" s="84"/>
      <c r="HSZ3" s="84"/>
      <c r="HTA3" s="84"/>
      <c r="HTB3" s="84"/>
      <c r="HTC3" s="84"/>
      <c r="HTD3" s="84"/>
      <c r="HTE3" s="84"/>
      <c r="HTF3" s="84"/>
      <c r="HTG3" s="84"/>
      <c r="HTH3" s="84"/>
      <c r="HTI3" s="84"/>
      <c r="HTJ3" s="84"/>
      <c r="HTK3" s="84"/>
      <c r="HTL3" s="84"/>
      <c r="HTM3" s="84"/>
      <c r="HTN3" s="84"/>
      <c r="HTO3" s="84"/>
      <c r="HTP3" s="84"/>
      <c r="HTQ3" s="84"/>
      <c r="HTR3" s="84"/>
      <c r="HTS3" s="84"/>
      <c r="HTT3" s="84"/>
      <c r="HTU3" s="84"/>
      <c r="HTV3" s="84"/>
      <c r="HTW3" s="84"/>
      <c r="HTX3" s="84"/>
      <c r="HTY3" s="84"/>
      <c r="HTZ3" s="84"/>
      <c r="HUA3" s="84"/>
      <c r="HUB3" s="84"/>
      <c r="HUC3" s="84"/>
      <c r="HUD3" s="84"/>
      <c r="HUE3" s="84"/>
      <c r="HUF3" s="84"/>
      <c r="HUG3" s="84"/>
      <c r="HUH3" s="84"/>
      <c r="HUI3" s="84"/>
      <c r="HUJ3" s="84"/>
      <c r="HUK3" s="84"/>
      <c r="HUL3" s="84"/>
      <c r="HUM3" s="84"/>
      <c r="HUN3" s="84"/>
      <c r="HUO3" s="84"/>
      <c r="HUP3" s="84"/>
      <c r="HUQ3" s="84"/>
      <c r="HUR3" s="84"/>
      <c r="HUS3" s="84"/>
      <c r="HUT3" s="84"/>
      <c r="HUU3" s="84"/>
      <c r="HUV3" s="84"/>
      <c r="HUW3" s="84"/>
      <c r="HUX3" s="84"/>
      <c r="HUY3" s="84"/>
      <c r="HUZ3" s="84"/>
      <c r="HVA3" s="84"/>
      <c r="HVB3" s="84"/>
      <c r="HVC3" s="84"/>
      <c r="HVD3" s="84"/>
      <c r="HVE3" s="84"/>
      <c r="HVF3" s="84"/>
      <c r="HVG3" s="84"/>
      <c r="HVH3" s="84"/>
      <c r="HVI3" s="84"/>
      <c r="HVJ3" s="84"/>
      <c r="HVK3" s="84"/>
      <c r="HVL3" s="84"/>
      <c r="HVM3" s="84"/>
      <c r="HVN3" s="84"/>
      <c r="HVO3" s="84"/>
      <c r="HVP3" s="84"/>
      <c r="HVQ3" s="84"/>
      <c r="HVR3" s="84"/>
      <c r="HVS3" s="84"/>
      <c r="HVT3" s="84"/>
      <c r="HVU3" s="84"/>
      <c r="HVV3" s="84"/>
      <c r="HVW3" s="84"/>
      <c r="HVX3" s="84"/>
      <c r="HVY3" s="84"/>
      <c r="HVZ3" s="84"/>
      <c r="HWA3" s="84"/>
      <c r="HWB3" s="84"/>
      <c r="HWC3" s="84"/>
      <c r="HWD3" s="84"/>
      <c r="HWE3" s="84"/>
      <c r="HWF3" s="84"/>
      <c r="HWG3" s="84"/>
      <c r="HWH3" s="84"/>
      <c r="HWI3" s="84"/>
      <c r="HWJ3" s="84"/>
      <c r="HWK3" s="84"/>
      <c r="HWL3" s="84"/>
      <c r="HWM3" s="84"/>
      <c r="HWN3" s="84"/>
      <c r="HWO3" s="84"/>
      <c r="HWP3" s="84"/>
      <c r="HWQ3" s="84"/>
      <c r="HWR3" s="84"/>
      <c r="HWS3" s="84"/>
      <c r="HWT3" s="84"/>
      <c r="HWU3" s="84"/>
      <c r="HWV3" s="84"/>
      <c r="HWW3" s="84"/>
      <c r="HWX3" s="84"/>
      <c r="HWY3" s="84"/>
      <c r="HWZ3" s="84"/>
      <c r="HXA3" s="84"/>
      <c r="HXB3" s="84"/>
      <c r="HXC3" s="84"/>
      <c r="HXD3" s="84"/>
      <c r="HXE3" s="84"/>
      <c r="HXF3" s="84"/>
      <c r="HXG3" s="84"/>
      <c r="HXH3" s="84"/>
      <c r="HXI3" s="84"/>
      <c r="HXJ3" s="84"/>
      <c r="HXK3" s="84"/>
      <c r="HXL3" s="84"/>
      <c r="HXM3" s="84"/>
      <c r="HXN3" s="84"/>
      <c r="HXO3" s="84"/>
      <c r="HXP3" s="84"/>
      <c r="HXQ3" s="84"/>
      <c r="HXR3" s="84"/>
      <c r="HXS3" s="84"/>
      <c r="HXT3" s="84"/>
      <c r="HXU3" s="84"/>
      <c r="HXV3" s="84"/>
      <c r="HXW3" s="84"/>
      <c r="HXX3" s="84"/>
      <c r="HXY3" s="84"/>
      <c r="HXZ3" s="84"/>
      <c r="HYA3" s="84"/>
      <c r="HYB3" s="84"/>
      <c r="HYC3" s="84"/>
      <c r="HYD3" s="84"/>
      <c r="HYE3" s="84"/>
      <c r="HYF3" s="84"/>
      <c r="HYG3" s="84"/>
      <c r="HYH3" s="84"/>
      <c r="HYI3" s="84"/>
      <c r="HYJ3" s="84"/>
      <c r="HYK3" s="84"/>
      <c r="HYL3" s="84"/>
      <c r="HYM3" s="84"/>
      <c r="HYN3" s="84"/>
      <c r="HYO3" s="84"/>
      <c r="HYP3" s="84"/>
      <c r="HYQ3" s="84"/>
      <c r="HYR3" s="84"/>
      <c r="HYS3" s="84"/>
      <c r="HYT3" s="84"/>
      <c r="HYU3" s="84"/>
      <c r="HYV3" s="84"/>
      <c r="HYW3" s="84"/>
      <c r="HYX3" s="84"/>
      <c r="HYY3" s="84"/>
      <c r="HYZ3" s="84"/>
      <c r="HZA3" s="84"/>
      <c r="HZB3" s="84"/>
      <c r="HZC3" s="84"/>
      <c r="HZD3" s="84"/>
      <c r="HZE3" s="84"/>
      <c r="HZF3" s="84"/>
      <c r="HZG3" s="84"/>
      <c r="HZH3" s="84"/>
      <c r="HZI3" s="84"/>
      <c r="HZJ3" s="84"/>
      <c r="HZK3" s="84"/>
      <c r="HZL3" s="84"/>
      <c r="HZM3" s="84"/>
      <c r="HZN3" s="84"/>
      <c r="HZO3" s="84"/>
      <c r="HZP3" s="84"/>
      <c r="HZQ3" s="84"/>
      <c r="HZR3" s="84"/>
      <c r="HZS3" s="84"/>
      <c r="HZT3" s="84"/>
      <c r="HZU3" s="84"/>
      <c r="HZV3" s="84"/>
      <c r="HZW3" s="84"/>
      <c r="HZX3" s="84"/>
      <c r="HZY3" s="84"/>
      <c r="HZZ3" s="84"/>
      <c r="IAA3" s="84"/>
      <c r="IAB3" s="84"/>
      <c r="IAC3" s="84"/>
      <c r="IAD3" s="84"/>
      <c r="IAE3" s="84"/>
      <c r="IAF3" s="84"/>
      <c r="IAG3" s="84"/>
      <c r="IAH3" s="84"/>
      <c r="IAI3" s="84"/>
      <c r="IAJ3" s="84"/>
      <c r="IAK3" s="84"/>
      <c r="IAL3" s="84"/>
      <c r="IAM3" s="84"/>
      <c r="IAN3" s="84"/>
      <c r="IAO3" s="84"/>
      <c r="IAP3" s="84"/>
      <c r="IAQ3" s="84"/>
      <c r="IAR3" s="84"/>
      <c r="IAS3" s="84"/>
      <c r="IAT3" s="84"/>
      <c r="IAU3" s="84"/>
      <c r="IAV3" s="84"/>
      <c r="IAW3" s="84"/>
      <c r="IAX3" s="84"/>
      <c r="IAY3" s="84"/>
      <c r="IAZ3" s="84"/>
      <c r="IBA3" s="84"/>
      <c r="IBB3" s="84"/>
      <c r="IBC3" s="84"/>
      <c r="IBD3" s="84"/>
      <c r="IBE3" s="84"/>
      <c r="IBF3" s="84"/>
      <c r="IBG3" s="84"/>
      <c r="IBH3" s="84"/>
      <c r="IBI3" s="84"/>
      <c r="IBJ3" s="84"/>
      <c r="IBK3" s="84"/>
      <c r="IBL3" s="84"/>
      <c r="IBM3" s="84"/>
      <c r="IBN3" s="84"/>
      <c r="IBO3" s="84"/>
      <c r="IBP3" s="84"/>
      <c r="IBQ3" s="84"/>
      <c r="IBR3" s="84"/>
      <c r="IBS3" s="84"/>
      <c r="IBT3" s="84"/>
      <c r="IBU3" s="84"/>
      <c r="IBV3" s="84"/>
      <c r="IBW3" s="84"/>
      <c r="IBX3" s="84"/>
      <c r="IBY3" s="84"/>
      <c r="IBZ3" s="84"/>
      <c r="ICA3" s="84"/>
      <c r="ICB3" s="84"/>
      <c r="ICC3" s="84"/>
      <c r="ICD3" s="84"/>
      <c r="ICE3" s="84"/>
      <c r="ICF3" s="84"/>
      <c r="ICG3" s="84"/>
      <c r="ICH3" s="84"/>
      <c r="ICI3" s="84"/>
      <c r="ICJ3" s="84"/>
      <c r="ICK3" s="84"/>
      <c r="ICL3" s="84"/>
      <c r="ICM3" s="84"/>
      <c r="ICN3" s="84"/>
      <c r="ICO3" s="84"/>
      <c r="ICP3" s="84"/>
      <c r="ICQ3" s="84"/>
      <c r="ICR3" s="84"/>
      <c r="ICS3" s="84"/>
      <c r="ICT3" s="84"/>
      <c r="ICU3" s="84"/>
      <c r="ICV3" s="84"/>
      <c r="ICW3" s="84"/>
      <c r="ICX3" s="84"/>
      <c r="ICY3" s="84"/>
      <c r="ICZ3" s="84"/>
      <c r="IDA3" s="84"/>
      <c r="IDB3" s="84"/>
      <c r="IDC3" s="84"/>
      <c r="IDD3" s="84"/>
      <c r="IDE3" s="84"/>
      <c r="IDF3" s="84"/>
      <c r="IDG3" s="84"/>
      <c r="IDH3" s="84"/>
      <c r="IDI3" s="84"/>
      <c r="IDJ3" s="84"/>
      <c r="IDK3" s="84"/>
      <c r="IDL3" s="84"/>
      <c r="IDM3" s="84"/>
      <c r="IDN3" s="84"/>
      <c r="IDO3" s="84"/>
      <c r="IDP3" s="84"/>
      <c r="IDQ3" s="84"/>
      <c r="IDR3" s="84"/>
      <c r="IDS3" s="84"/>
      <c r="IDT3" s="84"/>
      <c r="IDU3" s="84"/>
      <c r="IDV3" s="84"/>
      <c r="IDW3" s="84"/>
      <c r="IDX3" s="84"/>
      <c r="IDY3" s="84"/>
      <c r="IDZ3" s="84"/>
      <c r="IEA3" s="84"/>
      <c r="IEB3" s="84"/>
      <c r="IEC3" s="84"/>
      <c r="IED3" s="84"/>
      <c r="IEE3" s="84"/>
      <c r="IEF3" s="84"/>
      <c r="IEG3" s="84"/>
      <c r="IEH3" s="84"/>
      <c r="IEI3" s="84"/>
      <c r="IEJ3" s="84"/>
      <c r="IEK3" s="84"/>
      <c r="IEL3" s="84"/>
      <c r="IEM3" s="84"/>
      <c r="IEN3" s="84"/>
      <c r="IEO3" s="84"/>
      <c r="IEP3" s="84"/>
      <c r="IEQ3" s="84"/>
      <c r="IER3" s="84"/>
      <c r="IES3" s="84"/>
      <c r="IET3" s="84"/>
      <c r="IEU3" s="84"/>
      <c r="IEV3" s="84"/>
      <c r="IEW3" s="84"/>
      <c r="IEX3" s="84"/>
      <c r="IEY3" s="84"/>
      <c r="IEZ3" s="84"/>
      <c r="IFA3" s="84"/>
      <c r="IFB3" s="84"/>
      <c r="IFC3" s="84"/>
      <c r="IFD3" s="84"/>
      <c r="IFE3" s="84"/>
      <c r="IFF3" s="84"/>
      <c r="IFG3" s="84"/>
      <c r="IFH3" s="84"/>
      <c r="IFI3" s="84"/>
      <c r="IFJ3" s="84"/>
      <c r="IFK3" s="84"/>
      <c r="IFL3" s="84"/>
      <c r="IFM3" s="84"/>
      <c r="IFN3" s="84"/>
      <c r="IFO3" s="84"/>
      <c r="IFP3" s="84"/>
      <c r="IFQ3" s="84"/>
      <c r="IFR3" s="84"/>
      <c r="IFS3" s="84"/>
      <c r="IFT3" s="84"/>
      <c r="IFU3" s="84"/>
      <c r="IFV3" s="84"/>
      <c r="IFW3" s="84"/>
      <c r="IFX3" s="84"/>
      <c r="IFY3" s="84"/>
      <c r="IFZ3" s="84"/>
      <c r="IGA3" s="84"/>
      <c r="IGB3" s="84"/>
      <c r="IGC3" s="84"/>
      <c r="IGD3" s="84"/>
      <c r="IGE3" s="84"/>
      <c r="IGF3" s="84"/>
      <c r="IGG3" s="84"/>
      <c r="IGH3" s="84"/>
      <c r="IGI3" s="84"/>
      <c r="IGJ3" s="84"/>
      <c r="IGK3" s="84"/>
      <c r="IGL3" s="84"/>
      <c r="IGM3" s="84"/>
      <c r="IGN3" s="84"/>
      <c r="IGO3" s="84"/>
      <c r="IGP3" s="84"/>
      <c r="IGQ3" s="84"/>
      <c r="IGR3" s="84"/>
      <c r="IGS3" s="84"/>
      <c r="IGT3" s="84"/>
      <c r="IGU3" s="84"/>
      <c r="IGV3" s="84"/>
      <c r="IGW3" s="84"/>
      <c r="IGX3" s="84"/>
      <c r="IGY3" s="84"/>
      <c r="IGZ3" s="84"/>
      <c r="IHA3" s="84"/>
      <c r="IHB3" s="84"/>
      <c r="IHC3" s="84"/>
      <c r="IHD3" s="84"/>
      <c r="IHE3" s="84"/>
      <c r="IHF3" s="84"/>
      <c r="IHG3" s="84"/>
      <c r="IHH3" s="84"/>
      <c r="IHI3" s="84"/>
      <c r="IHJ3" s="84"/>
      <c r="IHK3" s="84"/>
      <c r="IHL3" s="84"/>
      <c r="IHM3" s="84"/>
      <c r="IHN3" s="84"/>
      <c r="IHO3" s="84"/>
      <c r="IHP3" s="84"/>
      <c r="IHQ3" s="84"/>
      <c r="IHR3" s="84"/>
      <c r="IHS3" s="84"/>
      <c r="IHT3" s="84"/>
      <c r="IHU3" s="84"/>
      <c r="IHV3" s="84"/>
      <c r="IHW3" s="84"/>
      <c r="IHX3" s="84"/>
      <c r="IHY3" s="84"/>
      <c r="IHZ3" s="84"/>
      <c r="IIA3" s="84"/>
      <c r="IIB3" s="84"/>
      <c r="IIC3" s="84"/>
      <c r="IID3" s="84"/>
      <c r="IIE3" s="84"/>
      <c r="IIF3" s="84"/>
      <c r="IIG3" s="84"/>
      <c r="IIH3" s="84"/>
      <c r="III3" s="84"/>
      <c r="IIJ3" s="84"/>
      <c r="IIK3" s="84"/>
      <c r="IIL3" s="84"/>
      <c r="IIM3" s="84"/>
      <c r="IIN3" s="84"/>
      <c r="IIO3" s="84"/>
      <c r="IIP3" s="84"/>
      <c r="IIQ3" s="84"/>
      <c r="IIR3" s="84"/>
      <c r="IIS3" s="84"/>
      <c r="IIT3" s="84"/>
      <c r="IIU3" s="84"/>
      <c r="IIV3" s="84"/>
      <c r="IIW3" s="84"/>
      <c r="IIX3" s="84"/>
      <c r="IIY3" s="84"/>
      <c r="IIZ3" s="84"/>
      <c r="IJA3" s="84"/>
      <c r="IJB3" s="84"/>
      <c r="IJC3" s="84"/>
      <c r="IJD3" s="84"/>
      <c r="IJE3" s="84"/>
      <c r="IJF3" s="84"/>
      <c r="IJG3" s="84"/>
      <c r="IJH3" s="84"/>
      <c r="IJI3" s="84"/>
      <c r="IJJ3" s="84"/>
      <c r="IJK3" s="84"/>
      <c r="IJL3" s="84"/>
      <c r="IJM3" s="84"/>
      <c r="IJN3" s="84"/>
      <c r="IJO3" s="84"/>
      <c r="IJP3" s="84"/>
      <c r="IJQ3" s="84"/>
      <c r="IJR3" s="84"/>
      <c r="IJS3" s="84"/>
      <c r="IJT3" s="84"/>
      <c r="IJU3" s="84"/>
      <c r="IJV3" s="84"/>
      <c r="IJW3" s="84"/>
      <c r="IJX3" s="84"/>
      <c r="IJY3" s="84"/>
      <c r="IJZ3" s="84"/>
      <c r="IKA3" s="84"/>
      <c r="IKB3" s="84"/>
      <c r="IKC3" s="84"/>
      <c r="IKD3" s="84"/>
      <c r="IKE3" s="84"/>
      <c r="IKF3" s="84"/>
      <c r="IKG3" s="84"/>
      <c r="IKH3" s="84"/>
      <c r="IKI3" s="84"/>
      <c r="IKJ3" s="84"/>
      <c r="IKK3" s="84"/>
      <c r="IKL3" s="84"/>
      <c r="IKM3" s="84"/>
      <c r="IKN3" s="84"/>
      <c r="IKO3" s="84"/>
      <c r="IKP3" s="84"/>
      <c r="IKQ3" s="84"/>
      <c r="IKR3" s="84"/>
      <c r="IKS3" s="84"/>
      <c r="IKT3" s="84"/>
      <c r="IKU3" s="84"/>
      <c r="IKV3" s="84"/>
      <c r="IKW3" s="84"/>
      <c r="IKX3" s="84"/>
      <c r="IKY3" s="84"/>
      <c r="IKZ3" s="84"/>
      <c r="ILA3" s="84"/>
      <c r="ILB3" s="84"/>
      <c r="ILC3" s="84"/>
      <c r="ILD3" s="84"/>
      <c r="ILE3" s="84"/>
      <c r="ILF3" s="84"/>
      <c r="ILG3" s="84"/>
      <c r="ILH3" s="84"/>
      <c r="ILI3" s="84"/>
      <c r="ILJ3" s="84"/>
      <c r="ILK3" s="84"/>
      <c r="ILL3" s="84"/>
      <c r="ILM3" s="84"/>
      <c r="ILN3" s="84"/>
      <c r="ILO3" s="84"/>
      <c r="ILP3" s="84"/>
      <c r="ILQ3" s="84"/>
      <c r="ILR3" s="84"/>
      <c r="ILS3" s="84"/>
      <c r="ILT3" s="84"/>
      <c r="ILU3" s="84"/>
      <c r="ILV3" s="84"/>
      <c r="ILW3" s="84"/>
      <c r="ILX3" s="84"/>
      <c r="ILY3" s="84"/>
      <c r="ILZ3" s="84"/>
      <c r="IMA3" s="84"/>
      <c r="IMB3" s="84"/>
      <c r="IMC3" s="84"/>
      <c r="IMD3" s="84"/>
      <c r="IME3" s="84"/>
      <c r="IMF3" s="84"/>
      <c r="IMG3" s="84"/>
      <c r="IMH3" s="84"/>
      <c r="IMI3" s="84"/>
      <c r="IMJ3" s="84"/>
      <c r="IMK3" s="84"/>
      <c r="IML3" s="84"/>
      <c r="IMM3" s="84"/>
      <c r="IMN3" s="84"/>
      <c r="IMO3" s="84"/>
      <c r="IMP3" s="84"/>
      <c r="IMQ3" s="84"/>
      <c r="IMR3" s="84"/>
      <c r="IMS3" s="84"/>
      <c r="IMT3" s="84"/>
      <c r="IMU3" s="84"/>
      <c r="IMV3" s="84"/>
      <c r="IMW3" s="84"/>
      <c r="IMX3" s="84"/>
      <c r="IMY3" s="84"/>
      <c r="IMZ3" s="84"/>
      <c r="INA3" s="84"/>
      <c r="INB3" s="84"/>
      <c r="INC3" s="84"/>
      <c r="IND3" s="84"/>
      <c r="INE3" s="84"/>
      <c r="INF3" s="84"/>
      <c r="ING3" s="84"/>
      <c r="INH3" s="84"/>
      <c r="INI3" s="84"/>
      <c r="INJ3" s="84"/>
      <c r="INK3" s="84"/>
      <c r="INL3" s="84"/>
      <c r="INM3" s="84"/>
      <c r="INN3" s="84"/>
      <c r="INO3" s="84"/>
      <c r="INP3" s="84"/>
      <c r="INQ3" s="84"/>
      <c r="INR3" s="84"/>
      <c r="INS3" s="84"/>
      <c r="INT3" s="84"/>
      <c r="INU3" s="84"/>
      <c r="INV3" s="84"/>
      <c r="INW3" s="84"/>
      <c r="INX3" s="84"/>
      <c r="INY3" s="84"/>
      <c r="INZ3" s="84"/>
      <c r="IOA3" s="84"/>
      <c r="IOB3" s="84"/>
      <c r="IOC3" s="84"/>
      <c r="IOD3" s="84"/>
      <c r="IOE3" s="84"/>
      <c r="IOF3" s="84"/>
      <c r="IOG3" s="84"/>
      <c r="IOH3" s="84"/>
      <c r="IOI3" s="84"/>
      <c r="IOJ3" s="84"/>
      <c r="IOK3" s="84"/>
      <c r="IOL3" s="84"/>
      <c r="IOM3" s="84"/>
      <c r="ION3" s="84"/>
      <c r="IOO3" s="84"/>
      <c r="IOP3" s="84"/>
      <c r="IOQ3" s="84"/>
      <c r="IOR3" s="84"/>
      <c r="IOS3" s="84"/>
      <c r="IOT3" s="84"/>
      <c r="IOU3" s="84"/>
      <c r="IOV3" s="84"/>
      <c r="IOW3" s="84"/>
      <c r="IOX3" s="84"/>
      <c r="IOY3" s="84"/>
      <c r="IOZ3" s="84"/>
      <c r="IPA3" s="84"/>
      <c r="IPB3" s="84"/>
      <c r="IPC3" s="84"/>
      <c r="IPD3" s="84"/>
      <c r="IPE3" s="84"/>
      <c r="IPF3" s="84"/>
      <c r="IPG3" s="84"/>
      <c r="IPH3" s="84"/>
      <c r="IPI3" s="84"/>
      <c r="IPJ3" s="84"/>
      <c r="IPK3" s="84"/>
      <c r="IPL3" s="84"/>
      <c r="IPM3" s="84"/>
      <c r="IPN3" s="84"/>
      <c r="IPO3" s="84"/>
      <c r="IPP3" s="84"/>
      <c r="IPQ3" s="84"/>
      <c r="IPR3" s="84"/>
      <c r="IPS3" s="84"/>
      <c r="IPT3" s="84"/>
      <c r="IPU3" s="84"/>
      <c r="IPV3" s="84"/>
      <c r="IPW3" s="84"/>
      <c r="IPX3" s="84"/>
      <c r="IPY3" s="84"/>
      <c r="IPZ3" s="84"/>
      <c r="IQA3" s="84"/>
      <c r="IQB3" s="84"/>
      <c r="IQC3" s="84"/>
      <c r="IQD3" s="84"/>
      <c r="IQE3" s="84"/>
      <c r="IQF3" s="84"/>
      <c r="IQG3" s="84"/>
      <c r="IQH3" s="84"/>
      <c r="IQI3" s="84"/>
      <c r="IQJ3" s="84"/>
      <c r="IQK3" s="84"/>
      <c r="IQL3" s="84"/>
      <c r="IQM3" s="84"/>
      <c r="IQN3" s="84"/>
      <c r="IQO3" s="84"/>
      <c r="IQP3" s="84"/>
      <c r="IQQ3" s="84"/>
      <c r="IQR3" s="84"/>
      <c r="IQS3" s="84"/>
      <c r="IQT3" s="84"/>
      <c r="IQU3" s="84"/>
      <c r="IQV3" s="84"/>
      <c r="IQW3" s="84"/>
      <c r="IQX3" s="84"/>
      <c r="IQY3" s="84"/>
      <c r="IQZ3" s="84"/>
      <c r="IRA3" s="84"/>
      <c r="IRB3" s="84"/>
      <c r="IRC3" s="84"/>
      <c r="IRD3" s="84"/>
      <c r="IRE3" s="84"/>
      <c r="IRF3" s="84"/>
      <c r="IRG3" s="84"/>
      <c r="IRH3" s="84"/>
      <c r="IRI3" s="84"/>
      <c r="IRJ3" s="84"/>
      <c r="IRK3" s="84"/>
      <c r="IRL3" s="84"/>
      <c r="IRM3" s="84"/>
      <c r="IRN3" s="84"/>
      <c r="IRO3" s="84"/>
      <c r="IRP3" s="84"/>
      <c r="IRQ3" s="84"/>
      <c r="IRR3" s="84"/>
      <c r="IRS3" s="84"/>
      <c r="IRT3" s="84"/>
      <c r="IRU3" s="84"/>
      <c r="IRV3" s="84"/>
      <c r="IRW3" s="84"/>
      <c r="IRX3" s="84"/>
      <c r="IRY3" s="84"/>
      <c r="IRZ3" s="84"/>
      <c r="ISA3" s="84"/>
      <c r="ISB3" s="84"/>
      <c r="ISC3" s="84"/>
      <c r="ISD3" s="84"/>
      <c r="ISE3" s="84"/>
      <c r="ISF3" s="84"/>
      <c r="ISG3" s="84"/>
      <c r="ISH3" s="84"/>
      <c r="ISI3" s="84"/>
      <c r="ISJ3" s="84"/>
      <c r="ISK3" s="84"/>
      <c r="ISL3" s="84"/>
      <c r="ISM3" s="84"/>
      <c r="ISN3" s="84"/>
      <c r="ISO3" s="84"/>
      <c r="ISP3" s="84"/>
      <c r="ISQ3" s="84"/>
      <c r="ISR3" s="84"/>
      <c r="ISS3" s="84"/>
      <c r="IST3" s="84"/>
      <c r="ISU3" s="84"/>
      <c r="ISV3" s="84"/>
      <c r="ISW3" s="84"/>
      <c r="ISX3" s="84"/>
      <c r="ISY3" s="84"/>
      <c r="ISZ3" s="84"/>
      <c r="ITA3" s="84"/>
      <c r="ITB3" s="84"/>
      <c r="ITC3" s="84"/>
      <c r="ITD3" s="84"/>
      <c r="ITE3" s="84"/>
      <c r="ITF3" s="84"/>
      <c r="ITG3" s="84"/>
      <c r="ITH3" s="84"/>
      <c r="ITI3" s="84"/>
      <c r="ITJ3" s="84"/>
      <c r="ITK3" s="84"/>
      <c r="ITL3" s="84"/>
      <c r="ITM3" s="84"/>
      <c r="ITN3" s="84"/>
      <c r="ITO3" s="84"/>
      <c r="ITP3" s="84"/>
      <c r="ITQ3" s="84"/>
      <c r="ITR3" s="84"/>
      <c r="ITS3" s="84"/>
      <c r="ITT3" s="84"/>
      <c r="ITU3" s="84"/>
      <c r="ITV3" s="84"/>
      <c r="ITW3" s="84"/>
      <c r="ITX3" s="84"/>
      <c r="ITY3" s="84"/>
      <c r="ITZ3" s="84"/>
      <c r="IUA3" s="84"/>
      <c r="IUB3" s="84"/>
      <c r="IUC3" s="84"/>
      <c r="IUD3" s="84"/>
      <c r="IUE3" s="84"/>
      <c r="IUF3" s="84"/>
      <c r="IUG3" s="84"/>
      <c r="IUH3" s="84"/>
      <c r="IUI3" s="84"/>
      <c r="IUJ3" s="84"/>
      <c r="IUK3" s="84"/>
      <c r="IUL3" s="84"/>
      <c r="IUM3" s="84"/>
      <c r="IUN3" s="84"/>
      <c r="IUO3" s="84"/>
      <c r="IUP3" s="84"/>
      <c r="IUQ3" s="84"/>
      <c r="IUR3" s="84"/>
      <c r="IUS3" s="84"/>
      <c r="IUT3" s="84"/>
      <c r="IUU3" s="84"/>
      <c r="IUV3" s="84"/>
      <c r="IUW3" s="84"/>
      <c r="IUX3" s="84"/>
      <c r="IUY3" s="84"/>
      <c r="IUZ3" s="84"/>
      <c r="IVA3" s="84"/>
      <c r="IVB3" s="84"/>
      <c r="IVC3" s="84"/>
      <c r="IVD3" s="84"/>
      <c r="IVE3" s="84"/>
      <c r="IVF3" s="84"/>
      <c r="IVG3" s="84"/>
      <c r="IVH3" s="84"/>
      <c r="IVI3" s="84"/>
      <c r="IVJ3" s="84"/>
      <c r="IVK3" s="84"/>
      <c r="IVL3" s="84"/>
      <c r="IVM3" s="84"/>
      <c r="IVN3" s="84"/>
      <c r="IVO3" s="84"/>
      <c r="IVP3" s="84"/>
      <c r="IVQ3" s="84"/>
      <c r="IVR3" s="84"/>
      <c r="IVS3" s="84"/>
      <c r="IVT3" s="84"/>
      <c r="IVU3" s="84"/>
      <c r="IVV3" s="84"/>
      <c r="IVW3" s="84"/>
      <c r="IVX3" s="84"/>
      <c r="IVY3" s="84"/>
      <c r="IVZ3" s="84"/>
      <c r="IWA3" s="84"/>
      <c r="IWB3" s="84"/>
      <c r="IWC3" s="84"/>
      <c r="IWD3" s="84"/>
      <c r="IWE3" s="84"/>
      <c r="IWF3" s="84"/>
      <c r="IWG3" s="84"/>
      <c r="IWH3" s="84"/>
      <c r="IWI3" s="84"/>
      <c r="IWJ3" s="84"/>
      <c r="IWK3" s="84"/>
      <c r="IWL3" s="84"/>
      <c r="IWM3" s="84"/>
      <c r="IWN3" s="84"/>
      <c r="IWO3" s="84"/>
      <c r="IWP3" s="84"/>
      <c r="IWQ3" s="84"/>
      <c r="IWR3" s="84"/>
      <c r="IWS3" s="84"/>
      <c r="IWT3" s="84"/>
      <c r="IWU3" s="84"/>
      <c r="IWV3" s="84"/>
      <c r="IWW3" s="84"/>
      <c r="IWX3" s="84"/>
      <c r="IWY3" s="84"/>
      <c r="IWZ3" s="84"/>
      <c r="IXA3" s="84"/>
      <c r="IXB3" s="84"/>
      <c r="IXC3" s="84"/>
      <c r="IXD3" s="84"/>
      <c r="IXE3" s="84"/>
      <c r="IXF3" s="84"/>
      <c r="IXG3" s="84"/>
      <c r="IXH3" s="84"/>
      <c r="IXI3" s="84"/>
      <c r="IXJ3" s="84"/>
      <c r="IXK3" s="84"/>
      <c r="IXL3" s="84"/>
      <c r="IXM3" s="84"/>
      <c r="IXN3" s="84"/>
      <c r="IXO3" s="84"/>
      <c r="IXP3" s="84"/>
      <c r="IXQ3" s="84"/>
      <c r="IXR3" s="84"/>
      <c r="IXS3" s="84"/>
      <c r="IXT3" s="84"/>
      <c r="IXU3" s="84"/>
      <c r="IXV3" s="84"/>
      <c r="IXW3" s="84"/>
      <c r="IXX3" s="84"/>
      <c r="IXY3" s="84"/>
      <c r="IXZ3" s="84"/>
      <c r="IYA3" s="84"/>
      <c r="IYB3" s="84"/>
      <c r="IYC3" s="84"/>
      <c r="IYD3" s="84"/>
      <c r="IYE3" s="84"/>
      <c r="IYF3" s="84"/>
      <c r="IYG3" s="84"/>
      <c r="IYH3" s="84"/>
      <c r="IYI3" s="84"/>
      <c r="IYJ3" s="84"/>
      <c r="IYK3" s="84"/>
      <c r="IYL3" s="84"/>
      <c r="IYM3" s="84"/>
      <c r="IYN3" s="84"/>
      <c r="IYO3" s="84"/>
      <c r="IYP3" s="84"/>
      <c r="IYQ3" s="84"/>
      <c r="IYR3" s="84"/>
      <c r="IYS3" s="84"/>
      <c r="IYT3" s="84"/>
      <c r="IYU3" s="84"/>
      <c r="IYV3" s="84"/>
      <c r="IYW3" s="84"/>
      <c r="IYX3" s="84"/>
      <c r="IYY3" s="84"/>
      <c r="IYZ3" s="84"/>
      <c r="IZA3" s="84"/>
      <c r="IZB3" s="84"/>
      <c r="IZC3" s="84"/>
      <c r="IZD3" s="84"/>
      <c r="IZE3" s="84"/>
      <c r="IZF3" s="84"/>
      <c r="IZG3" s="84"/>
      <c r="IZH3" s="84"/>
      <c r="IZI3" s="84"/>
      <c r="IZJ3" s="84"/>
      <c r="IZK3" s="84"/>
      <c r="IZL3" s="84"/>
      <c r="IZM3" s="84"/>
      <c r="IZN3" s="84"/>
      <c r="IZO3" s="84"/>
      <c r="IZP3" s="84"/>
      <c r="IZQ3" s="84"/>
      <c r="IZR3" s="84"/>
      <c r="IZS3" s="84"/>
      <c r="IZT3" s="84"/>
      <c r="IZU3" s="84"/>
      <c r="IZV3" s="84"/>
      <c r="IZW3" s="84"/>
      <c r="IZX3" s="84"/>
      <c r="IZY3" s="84"/>
      <c r="IZZ3" s="84"/>
      <c r="JAA3" s="84"/>
      <c r="JAB3" s="84"/>
      <c r="JAC3" s="84"/>
      <c r="JAD3" s="84"/>
      <c r="JAE3" s="84"/>
      <c r="JAF3" s="84"/>
      <c r="JAG3" s="84"/>
      <c r="JAH3" s="84"/>
      <c r="JAI3" s="84"/>
      <c r="JAJ3" s="84"/>
      <c r="JAK3" s="84"/>
      <c r="JAL3" s="84"/>
      <c r="JAM3" s="84"/>
      <c r="JAN3" s="84"/>
      <c r="JAO3" s="84"/>
      <c r="JAP3" s="84"/>
      <c r="JAQ3" s="84"/>
      <c r="JAR3" s="84"/>
      <c r="JAS3" s="84"/>
      <c r="JAT3" s="84"/>
      <c r="JAU3" s="84"/>
      <c r="JAV3" s="84"/>
      <c r="JAW3" s="84"/>
      <c r="JAX3" s="84"/>
      <c r="JAY3" s="84"/>
      <c r="JAZ3" s="84"/>
      <c r="JBA3" s="84"/>
      <c r="JBB3" s="84"/>
      <c r="JBC3" s="84"/>
      <c r="JBD3" s="84"/>
      <c r="JBE3" s="84"/>
      <c r="JBF3" s="84"/>
      <c r="JBG3" s="84"/>
      <c r="JBH3" s="84"/>
      <c r="JBI3" s="84"/>
      <c r="JBJ3" s="84"/>
      <c r="JBK3" s="84"/>
      <c r="JBL3" s="84"/>
      <c r="JBM3" s="84"/>
      <c r="JBN3" s="84"/>
      <c r="JBO3" s="84"/>
      <c r="JBP3" s="84"/>
      <c r="JBQ3" s="84"/>
      <c r="JBR3" s="84"/>
      <c r="JBS3" s="84"/>
      <c r="JBT3" s="84"/>
      <c r="JBU3" s="84"/>
      <c r="JBV3" s="84"/>
      <c r="JBW3" s="84"/>
      <c r="JBX3" s="84"/>
      <c r="JBY3" s="84"/>
      <c r="JBZ3" s="84"/>
      <c r="JCA3" s="84"/>
      <c r="JCB3" s="84"/>
      <c r="JCC3" s="84"/>
      <c r="JCD3" s="84"/>
      <c r="JCE3" s="84"/>
      <c r="JCF3" s="84"/>
      <c r="JCG3" s="84"/>
      <c r="JCH3" s="84"/>
      <c r="JCI3" s="84"/>
      <c r="JCJ3" s="84"/>
      <c r="JCK3" s="84"/>
      <c r="JCL3" s="84"/>
      <c r="JCM3" s="84"/>
      <c r="JCN3" s="84"/>
      <c r="JCO3" s="84"/>
      <c r="JCP3" s="84"/>
      <c r="JCQ3" s="84"/>
      <c r="JCR3" s="84"/>
      <c r="JCS3" s="84"/>
      <c r="JCT3" s="84"/>
      <c r="JCU3" s="84"/>
      <c r="JCV3" s="84"/>
      <c r="JCW3" s="84"/>
      <c r="JCX3" s="84"/>
      <c r="JCY3" s="84"/>
      <c r="JCZ3" s="84"/>
      <c r="JDA3" s="84"/>
      <c r="JDB3" s="84"/>
      <c r="JDC3" s="84"/>
      <c r="JDD3" s="84"/>
      <c r="JDE3" s="84"/>
      <c r="JDF3" s="84"/>
      <c r="JDG3" s="84"/>
      <c r="JDH3" s="84"/>
      <c r="JDI3" s="84"/>
      <c r="JDJ3" s="84"/>
      <c r="JDK3" s="84"/>
      <c r="JDL3" s="84"/>
      <c r="JDM3" s="84"/>
      <c r="JDN3" s="84"/>
      <c r="JDO3" s="84"/>
      <c r="JDP3" s="84"/>
      <c r="JDQ3" s="84"/>
      <c r="JDR3" s="84"/>
      <c r="JDS3" s="84"/>
      <c r="JDT3" s="84"/>
      <c r="JDU3" s="84"/>
      <c r="JDV3" s="84"/>
      <c r="JDW3" s="84"/>
      <c r="JDX3" s="84"/>
      <c r="JDY3" s="84"/>
      <c r="JDZ3" s="84"/>
      <c r="JEA3" s="84"/>
      <c r="JEB3" s="84"/>
      <c r="JEC3" s="84"/>
      <c r="JED3" s="84"/>
      <c r="JEE3" s="84"/>
      <c r="JEF3" s="84"/>
      <c r="JEG3" s="84"/>
      <c r="JEH3" s="84"/>
      <c r="JEI3" s="84"/>
      <c r="JEJ3" s="84"/>
      <c r="JEK3" s="84"/>
      <c r="JEL3" s="84"/>
      <c r="JEM3" s="84"/>
      <c r="JEN3" s="84"/>
      <c r="JEO3" s="84"/>
      <c r="JEP3" s="84"/>
      <c r="JEQ3" s="84"/>
      <c r="JER3" s="84"/>
      <c r="JES3" s="84"/>
      <c r="JET3" s="84"/>
      <c r="JEU3" s="84"/>
      <c r="JEV3" s="84"/>
      <c r="JEW3" s="84"/>
      <c r="JEX3" s="84"/>
      <c r="JEY3" s="84"/>
      <c r="JEZ3" s="84"/>
      <c r="JFA3" s="84"/>
      <c r="JFB3" s="84"/>
      <c r="JFC3" s="84"/>
      <c r="JFD3" s="84"/>
      <c r="JFE3" s="84"/>
      <c r="JFF3" s="84"/>
      <c r="JFG3" s="84"/>
      <c r="JFH3" s="84"/>
      <c r="JFI3" s="84"/>
      <c r="JFJ3" s="84"/>
      <c r="JFK3" s="84"/>
      <c r="JFL3" s="84"/>
      <c r="JFM3" s="84"/>
      <c r="JFN3" s="84"/>
      <c r="JFO3" s="84"/>
      <c r="JFP3" s="84"/>
      <c r="JFQ3" s="84"/>
      <c r="JFR3" s="84"/>
      <c r="JFS3" s="84"/>
      <c r="JFT3" s="84"/>
      <c r="JFU3" s="84"/>
      <c r="JFV3" s="84"/>
      <c r="JFW3" s="84"/>
      <c r="JFX3" s="84"/>
      <c r="JFY3" s="84"/>
      <c r="JFZ3" s="84"/>
      <c r="JGA3" s="84"/>
      <c r="JGB3" s="84"/>
      <c r="JGC3" s="84"/>
      <c r="JGD3" s="84"/>
      <c r="JGE3" s="84"/>
      <c r="JGF3" s="84"/>
      <c r="JGG3" s="84"/>
      <c r="JGH3" s="84"/>
      <c r="JGI3" s="84"/>
      <c r="JGJ3" s="84"/>
      <c r="JGK3" s="84"/>
      <c r="JGL3" s="84"/>
      <c r="JGM3" s="84"/>
      <c r="JGN3" s="84"/>
      <c r="JGO3" s="84"/>
      <c r="JGP3" s="84"/>
      <c r="JGQ3" s="84"/>
      <c r="JGR3" s="84"/>
      <c r="JGS3" s="84"/>
      <c r="JGT3" s="84"/>
      <c r="JGU3" s="84"/>
      <c r="JGV3" s="84"/>
      <c r="JGW3" s="84"/>
      <c r="JGX3" s="84"/>
      <c r="JGY3" s="84"/>
      <c r="JGZ3" s="84"/>
      <c r="JHA3" s="84"/>
      <c r="JHB3" s="84"/>
      <c r="JHC3" s="84"/>
      <c r="JHD3" s="84"/>
      <c r="JHE3" s="84"/>
      <c r="JHF3" s="84"/>
      <c r="JHG3" s="84"/>
      <c r="JHH3" s="84"/>
      <c r="JHI3" s="84"/>
      <c r="JHJ3" s="84"/>
      <c r="JHK3" s="84"/>
      <c r="JHL3" s="84"/>
      <c r="JHM3" s="84"/>
      <c r="JHN3" s="84"/>
      <c r="JHO3" s="84"/>
      <c r="JHP3" s="84"/>
      <c r="JHQ3" s="84"/>
      <c r="JHR3" s="84"/>
      <c r="JHS3" s="84"/>
      <c r="JHT3" s="84"/>
      <c r="JHU3" s="84"/>
      <c r="JHV3" s="84"/>
      <c r="JHW3" s="84"/>
      <c r="JHX3" s="84"/>
      <c r="JHY3" s="84"/>
      <c r="JHZ3" s="84"/>
      <c r="JIA3" s="84"/>
      <c r="JIB3" s="84"/>
      <c r="JIC3" s="84"/>
      <c r="JID3" s="84"/>
      <c r="JIE3" s="84"/>
      <c r="JIF3" s="84"/>
      <c r="JIG3" s="84"/>
      <c r="JIH3" s="84"/>
      <c r="JII3" s="84"/>
      <c r="JIJ3" s="84"/>
      <c r="JIK3" s="84"/>
      <c r="JIL3" s="84"/>
      <c r="JIM3" s="84"/>
      <c r="JIN3" s="84"/>
      <c r="JIO3" s="84"/>
      <c r="JIP3" s="84"/>
      <c r="JIQ3" s="84"/>
      <c r="JIR3" s="84"/>
      <c r="JIS3" s="84"/>
      <c r="JIT3" s="84"/>
      <c r="JIU3" s="84"/>
      <c r="JIV3" s="84"/>
      <c r="JIW3" s="84"/>
      <c r="JIX3" s="84"/>
      <c r="JIY3" s="84"/>
      <c r="JIZ3" s="84"/>
      <c r="JJA3" s="84"/>
      <c r="JJB3" s="84"/>
      <c r="JJC3" s="84"/>
      <c r="JJD3" s="84"/>
      <c r="JJE3" s="84"/>
      <c r="JJF3" s="84"/>
      <c r="JJG3" s="84"/>
      <c r="JJH3" s="84"/>
      <c r="JJI3" s="84"/>
      <c r="JJJ3" s="84"/>
      <c r="JJK3" s="84"/>
      <c r="JJL3" s="84"/>
      <c r="JJM3" s="84"/>
      <c r="JJN3" s="84"/>
      <c r="JJO3" s="84"/>
      <c r="JJP3" s="84"/>
      <c r="JJQ3" s="84"/>
      <c r="JJR3" s="84"/>
      <c r="JJS3" s="84"/>
      <c r="JJT3" s="84"/>
      <c r="JJU3" s="84"/>
      <c r="JJV3" s="84"/>
      <c r="JJW3" s="84"/>
      <c r="JJX3" s="84"/>
      <c r="JJY3" s="84"/>
      <c r="JJZ3" s="84"/>
      <c r="JKA3" s="84"/>
      <c r="JKB3" s="84"/>
      <c r="JKC3" s="84"/>
      <c r="JKD3" s="84"/>
      <c r="JKE3" s="84"/>
      <c r="JKF3" s="84"/>
      <c r="JKG3" s="84"/>
      <c r="JKH3" s="84"/>
      <c r="JKI3" s="84"/>
      <c r="JKJ3" s="84"/>
      <c r="JKK3" s="84"/>
      <c r="JKL3" s="84"/>
      <c r="JKM3" s="84"/>
      <c r="JKN3" s="84"/>
      <c r="JKO3" s="84"/>
      <c r="JKP3" s="84"/>
      <c r="JKQ3" s="84"/>
      <c r="JKR3" s="84"/>
      <c r="JKS3" s="84"/>
      <c r="JKT3" s="84"/>
      <c r="JKU3" s="84"/>
      <c r="JKV3" s="84"/>
      <c r="JKW3" s="84"/>
      <c r="JKX3" s="84"/>
      <c r="JKY3" s="84"/>
      <c r="JKZ3" s="84"/>
      <c r="JLA3" s="84"/>
      <c r="JLB3" s="84"/>
      <c r="JLC3" s="84"/>
      <c r="JLD3" s="84"/>
      <c r="JLE3" s="84"/>
      <c r="JLF3" s="84"/>
      <c r="JLG3" s="84"/>
      <c r="JLH3" s="84"/>
      <c r="JLI3" s="84"/>
      <c r="JLJ3" s="84"/>
      <c r="JLK3" s="84"/>
      <c r="JLL3" s="84"/>
      <c r="JLM3" s="84"/>
      <c r="JLN3" s="84"/>
      <c r="JLO3" s="84"/>
      <c r="JLP3" s="84"/>
      <c r="JLQ3" s="84"/>
      <c r="JLR3" s="84"/>
      <c r="JLS3" s="84"/>
      <c r="JLT3" s="84"/>
      <c r="JLU3" s="84"/>
      <c r="JLV3" s="84"/>
      <c r="JLW3" s="84"/>
      <c r="JLX3" s="84"/>
      <c r="JLY3" s="84"/>
      <c r="JLZ3" s="84"/>
      <c r="JMA3" s="84"/>
      <c r="JMB3" s="84"/>
      <c r="JMC3" s="84"/>
      <c r="JMD3" s="84"/>
      <c r="JME3" s="84"/>
      <c r="JMF3" s="84"/>
      <c r="JMG3" s="84"/>
      <c r="JMH3" s="84"/>
      <c r="JMI3" s="84"/>
      <c r="JMJ3" s="84"/>
      <c r="JMK3" s="84"/>
      <c r="JML3" s="84"/>
      <c r="JMM3" s="84"/>
      <c r="JMN3" s="84"/>
      <c r="JMO3" s="84"/>
      <c r="JMP3" s="84"/>
      <c r="JMQ3" s="84"/>
      <c r="JMR3" s="84"/>
      <c r="JMS3" s="84"/>
      <c r="JMT3" s="84"/>
      <c r="JMU3" s="84"/>
      <c r="JMV3" s="84"/>
      <c r="JMW3" s="84"/>
      <c r="JMX3" s="84"/>
      <c r="JMY3" s="84"/>
      <c r="JMZ3" s="84"/>
      <c r="JNA3" s="84"/>
      <c r="JNB3" s="84"/>
      <c r="JNC3" s="84"/>
      <c r="JND3" s="84"/>
      <c r="JNE3" s="84"/>
      <c r="JNF3" s="84"/>
      <c r="JNG3" s="84"/>
      <c r="JNH3" s="84"/>
      <c r="JNI3" s="84"/>
      <c r="JNJ3" s="84"/>
      <c r="JNK3" s="84"/>
      <c r="JNL3" s="84"/>
      <c r="JNM3" s="84"/>
      <c r="JNN3" s="84"/>
      <c r="JNO3" s="84"/>
      <c r="JNP3" s="84"/>
      <c r="JNQ3" s="84"/>
      <c r="JNR3" s="84"/>
      <c r="JNS3" s="84"/>
      <c r="JNT3" s="84"/>
      <c r="JNU3" s="84"/>
      <c r="JNV3" s="84"/>
      <c r="JNW3" s="84"/>
      <c r="JNX3" s="84"/>
      <c r="JNY3" s="84"/>
      <c r="JNZ3" s="84"/>
      <c r="JOA3" s="84"/>
      <c r="JOB3" s="84"/>
      <c r="JOC3" s="84"/>
      <c r="JOD3" s="84"/>
      <c r="JOE3" s="84"/>
      <c r="JOF3" s="84"/>
      <c r="JOG3" s="84"/>
      <c r="JOH3" s="84"/>
      <c r="JOI3" s="84"/>
      <c r="JOJ3" s="84"/>
      <c r="JOK3" s="84"/>
      <c r="JOL3" s="84"/>
      <c r="JOM3" s="84"/>
      <c r="JON3" s="84"/>
      <c r="JOO3" s="84"/>
      <c r="JOP3" s="84"/>
      <c r="JOQ3" s="84"/>
      <c r="JOR3" s="84"/>
      <c r="JOS3" s="84"/>
      <c r="JOT3" s="84"/>
      <c r="JOU3" s="84"/>
      <c r="JOV3" s="84"/>
      <c r="JOW3" s="84"/>
      <c r="JOX3" s="84"/>
      <c r="JOY3" s="84"/>
      <c r="JOZ3" s="84"/>
      <c r="JPA3" s="84"/>
      <c r="JPB3" s="84"/>
      <c r="JPC3" s="84"/>
      <c r="JPD3" s="84"/>
      <c r="JPE3" s="84"/>
      <c r="JPF3" s="84"/>
      <c r="JPG3" s="84"/>
      <c r="JPH3" s="84"/>
      <c r="JPI3" s="84"/>
      <c r="JPJ3" s="84"/>
      <c r="JPK3" s="84"/>
      <c r="JPL3" s="84"/>
      <c r="JPM3" s="84"/>
      <c r="JPN3" s="84"/>
      <c r="JPO3" s="84"/>
      <c r="JPP3" s="84"/>
      <c r="JPQ3" s="84"/>
      <c r="JPR3" s="84"/>
      <c r="JPS3" s="84"/>
      <c r="JPT3" s="84"/>
      <c r="JPU3" s="84"/>
      <c r="JPV3" s="84"/>
      <c r="JPW3" s="84"/>
      <c r="JPX3" s="84"/>
      <c r="JPY3" s="84"/>
      <c r="JPZ3" s="84"/>
      <c r="JQA3" s="84"/>
      <c r="JQB3" s="84"/>
      <c r="JQC3" s="84"/>
      <c r="JQD3" s="84"/>
      <c r="JQE3" s="84"/>
      <c r="JQF3" s="84"/>
      <c r="JQG3" s="84"/>
      <c r="JQH3" s="84"/>
      <c r="JQI3" s="84"/>
      <c r="JQJ3" s="84"/>
      <c r="JQK3" s="84"/>
      <c r="JQL3" s="84"/>
      <c r="JQM3" s="84"/>
      <c r="JQN3" s="84"/>
      <c r="JQO3" s="84"/>
      <c r="JQP3" s="84"/>
      <c r="JQQ3" s="84"/>
      <c r="JQR3" s="84"/>
      <c r="JQS3" s="84"/>
      <c r="JQT3" s="84"/>
      <c r="JQU3" s="84"/>
      <c r="JQV3" s="84"/>
      <c r="JQW3" s="84"/>
      <c r="JQX3" s="84"/>
      <c r="JQY3" s="84"/>
      <c r="JQZ3" s="84"/>
      <c r="JRA3" s="84"/>
      <c r="JRB3" s="84"/>
      <c r="JRC3" s="84"/>
      <c r="JRD3" s="84"/>
      <c r="JRE3" s="84"/>
      <c r="JRF3" s="84"/>
      <c r="JRG3" s="84"/>
      <c r="JRH3" s="84"/>
      <c r="JRI3" s="84"/>
      <c r="JRJ3" s="84"/>
      <c r="JRK3" s="84"/>
      <c r="JRL3" s="84"/>
      <c r="JRM3" s="84"/>
      <c r="JRN3" s="84"/>
      <c r="JRO3" s="84"/>
      <c r="JRP3" s="84"/>
      <c r="JRQ3" s="84"/>
      <c r="JRR3" s="84"/>
      <c r="JRS3" s="84"/>
      <c r="JRT3" s="84"/>
      <c r="JRU3" s="84"/>
      <c r="JRV3" s="84"/>
      <c r="JRW3" s="84"/>
      <c r="JRX3" s="84"/>
      <c r="JRY3" s="84"/>
      <c r="JRZ3" s="84"/>
      <c r="JSA3" s="84"/>
      <c r="JSB3" s="84"/>
      <c r="JSC3" s="84"/>
      <c r="JSD3" s="84"/>
      <c r="JSE3" s="84"/>
      <c r="JSF3" s="84"/>
      <c r="JSG3" s="84"/>
      <c r="JSH3" s="84"/>
      <c r="JSI3" s="84"/>
      <c r="JSJ3" s="84"/>
      <c r="JSK3" s="84"/>
      <c r="JSL3" s="84"/>
      <c r="JSM3" s="84"/>
      <c r="JSN3" s="84"/>
      <c r="JSO3" s="84"/>
      <c r="JSP3" s="84"/>
      <c r="JSQ3" s="84"/>
      <c r="JSR3" s="84"/>
      <c r="JSS3" s="84"/>
      <c r="JST3" s="84"/>
      <c r="JSU3" s="84"/>
      <c r="JSV3" s="84"/>
      <c r="JSW3" s="84"/>
      <c r="JSX3" s="84"/>
      <c r="JSY3" s="84"/>
      <c r="JSZ3" s="84"/>
      <c r="JTA3" s="84"/>
      <c r="JTB3" s="84"/>
      <c r="JTC3" s="84"/>
      <c r="JTD3" s="84"/>
      <c r="JTE3" s="84"/>
      <c r="JTF3" s="84"/>
      <c r="JTG3" s="84"/>
      <c r="JTH3" s="84"/>
      <c r="JTI3" s="84"/>
      <c r="JTJ3" s="84"/>
      <c r="JTK3" s="84"/>
      <c r="JTL3" s="84"/>
      <c r="JTM3" s="84"/>
      <c r="JTN3" s="84"/>
      <c r="JTO3" s="84"/>
      <c r="JTP3" s="84"/>
      <c r="JTQ3" s="84"/>
      <c r="JTR3" s="84"/>
      <c r="JTS3" s="84"/>
      <c r="JTT3" s="84"/>
      <c r="JTU3" s="84"/>
      <c r="JTV3" s="84"/>
      <c r="JTW3" s="84"/>
      <c r="JTX3" s="84"/>
      <c r="JTY3" s="84"/>
      <c r="JTZ3" s="84"/>
      <c r="JUA3" s="84"/>
      <c r="JUB3" s="84"/>
      <c r="JUC3" s="84"/>
      <c r="JUD3" s="84"/>
      <c r="JUE3" s="84"/>
      <c r="JUF3" s="84"/>
      <c r="JUG3" s="84"/>
      <c r="JUH3" s="84"/>
      <c r="JUI3" s="84"/>
      <c r="JUJ3" s="84"/>
      <c r="JUK3" s="84"/>
      <c r="JUL3" s="84"/>
      <c r="JUM3" s="84"/>
      <c r="JUN3" s="84"/>
      <c r="JUO3" s="84"/>
      <c r="JUP3" s="84"/>
      <c r="JUQ3" s="84"/>
      <c r="JUR3" s="84"/>
      <c r="JUS3" s="84"/>
      <c r="JUT3" s="84"/>
      <c r="JUU3" s="84"/>
      <c r="JUV3" s="84"/>
      <c r="JUW3" s="84"/>
      <c r="JUX3" s="84"/>
      <c r="JUY3" s="84"/>
      <c r="JUZ3" s="84"/>
      <c r="JVA3" s="84"/>
      <c r="JVB3" s="84"/>
      <c r="JVC3" s="84"/>
      <c r="JVD3" s="84"/>
      <c r="JVE3" s="84"/>
      <c r="JVF3" s="84"/>
      <c r="JVG3" s="84"/>
      <c r="JVH3" s="84"/>
      <c r="JVI3" s="84"/>
      <c r="JVJ3" s="84"/>
      <c r="JVK3" s="84"/>
      <c r="JVL3" s="84"/>
      <c r="JVM3" s="84"/>
      <c r="JVN3" s="84"/>
      <c r="JVO3" s="84"/>
      <c r="JVP3" s="84"/>
      <c r="JVQ3" s="84"/>
      <c r="JVR3" s="84"/>
      <c r="JVS3" s="84"/>
      <c r="JVT3" s="84"/>
      <c r="JVU3" s="84"/>
      <c r="JVV3" s="84"/>
      <c r="JVW3" s="84"/>
      <c r="JVX3" s="84"/>
      <c r="JVY3" s="84"/>
      <c r="JVZ3" s="84"/>
      <c r="JWA3" s="84"/>
      <c r="JWB3" s="84"/>
      <c r="JWC3" s="84"/>
      <c r="JWD3" s="84"/>
      <c r="JWE3" s="84"/>
      <c r="JWF3" s="84"/>
      <c r="JWG3" s="84"/>
      <c r="JWH3" s="84"/>
      <c r="JWI3" s="84"/>
      <c r="JWJ3" s="84"/>
      <c r="JWK3" s="84"/>
      <c r="JWL3" s="84"/>
      <c r="JWM3" s="84"/>
      <c r="JWN3" s="84"/>
      <c r="JWO3" s="84"/>
      <c r="JWP3" s="84"/>
      <c r="JWQ3" s="84"/>
      <c r="JWR3" s="84"/>
      <c r="JWS3" s="84"/>
      <c r="JWT3" s="84"/>
      <c r="JWU3" s="84"/>
      <c r="JWV3" s="84"/>
      <c r="JWW3" s="84"/>
      <c r="JWX3" s="84"/>
      <c r="JWY3" s="84"/>
      <c r="JWZ3" s="84"/>
      <c r="JXA3" s="84"/>
      <c r="JXB3" s="84"/>
      <c r="JXC3" s="84"/>
      <c r="JXD3" s="84"/>
      <c r="JXE3" s="84"/>
      <c r="JXF3" s="84"/>
      <c r="JXG3" s="84"/>
      <c r="JXH3" s="84"/>
      <c r="JXI3" s="84"/>
      <c r="JXJ3" s="84"/>
      <c r="JXK3" s="84"/>
      <c r="JXL3" s="84"/>
      <c r="JXM3" s="84"/>
      <c r="JXN3" s="84"/>
      <c r="JXO3" s="84"/>
      <c r="JXP3" s="84"/>
      <c r="JXQ3" s="84"/>
      <c r="JXR3" s="84"/>
      <c r="JXS3" s="84"/>
      <c r="JXT3" s="84"/>
      <c r="JXU3" s="84"/>
      <c r="JXV3" s="84"/>
      <c r="JXW3" s="84"/>
      <c r="JXX3" s="84"/>
      <c r="JXY3" s="84"/>
      <c r="JXZ3" s="84"/>
      <c r="JYA3" s="84"/>
      <c r="JYB3" s="84"/>
      <c r="JYC3" s="84"/>
      <c r="JYD3" s="84"/>
      <c r="JYE3" s="84"/>
      <c r="JYF3" s="84"/>
      <c r="JYG3" s="84"/>
      <c r="JYH3" s="84"/>
      <c r="JYI3" s="84"/>
      <c r="JYJ3" s="84"/>
      <c r="JYK3" s="84"/>
      <c r="JYL3" s="84"/>
      <c r="JYM3" s="84"/>
      <c r="JYN3" s="84"/>
      <c r="JYO3" s="84"/>
      <c r="JYP3" s="84"/>
      <c r="JYQ3" s="84"/>
      <c r="JYR3" s="84"/>
      <c r="JYS3" s="84"/>
      <c r="JYT3" s="84"/>
      <c r="JYU3" s="84"/>
      <c r="JYV3" s="84"/>
      <c r="JYW3" s="84"/>
      <c r="JYX3" s="84"/>
      <c r="JYY3" s="84"/>
      <c r="JYZ3" s="84"/>
      <c r="JZA3" s="84"/>
      <c r="JZB3" s="84"/>
      <c r="JZC3" s="84"/>
      <c r="JZD3" s="84"/>
      <c r="JZE3" s="84"/>
      <c r="JZF3" s="84"/>
      <c r="JZG3" s="84"/>
      <c r="JZH3" s="84"/>
      <c r="JZI3" s="84"/>
      <c r="JZJ3" s="84"/>
      <c r="JZK3" s="84"/>
      <c r="JZL3" s="84"/>
      <c r="JZM3" s="84"/>
      <c r="JZN3" s="84"/>
      <c r="JZO3" s="84"/>
      <c r="JZP3" s="84"/>
      <c r="JZQ3" s="84"/>
      <c r="JZR3" s="84"/>
      <c r="JZS3" s="84"/>
      <c r="JZT3" s="84"/>
      <c r="JZU3" s="84"/>
      <c r="JZV3" s="84"/>
      <c r="JZW3" s="84"/>
      <c r="JZX3" s="84"/>
      <c r="JZY3" s="84"/>
      <c r="JZZ3" s="84"/>
      <c r="KAA3" s="84"/>
      <c r="KAB3" s="84"/>
      <c r="KAC3" s="84"/>
      <c r="KAD3" s="84"/>
      <c r="KAE3" s="84"/>
      <c r="KAF3" s="84"/>
      <c r="KAG3" s="84"/>
      <c r="KAH3" s="84"/>
      <c r="KAI3" s="84"/>
      <c r="KAJ3" s="84"/>
      <c r="KAK3" s="84"/>
      <c r="KAL3" s="84"/>
      <c r="KAM3" s="84"/>
      <c r="KAN3" s="84"/>
      <c r="KAO3" s="84"/>
      <c r="KAP3" s="84"/>
      <c r="KAQ3" s="84"/>
      <c r="KAR3" s="84"/>
      <c r="KAS3" s="84"/>
      <c r="KAT3" s="84"/>
      <c r="KAU3" s="84"/>
      <c r="KAV3" s="84"/>
      <c r="KAW3" s="84"/>
      <c r="KAX3" s="84"/>
      <c r="KAY3" s="84"/>
      <c r="KAZ3" s="84"/>
      <c r="KBA3" s="84"/>
      <c r="KBB3" s="84"/>
      <c r="KBC3" s="84"/>
      <c r="KBD3" s="84"/>
      <c r="KBE3" s="84"/>
      <c r="KBF3" s="84"/>
      <c r="KBG3" s="84"/>
      <c r="KBH3" s="84"/>
      <c r="KBI3" s="84"/>
      <c r="KBJ3" s="84"/>
      <c r="KBK3" s="84"/>
      <c r="KBL3" s="84"/>
      <c r="KBM3" s="84"/>
      <c r="KBN3" s="84"/>
      <c r="KBO3" s="84"/>
      <c r="KBP3" s="84"/>
      <c r="KBQ3" s="84"/>
      <c r="KBR3" s="84"/>
      <c r="KBS3" s="84"/>
      <c r="KBT3" s="84"/>
      <c r="KBU3" s="84"/>
      <c r="KBV3" s="84"/>
      <c r="KBW3" s="84"/>
      <c r="KBX3" s="84"/>
      <c r="KBY3" s="84"/>
      <c r="KBZ3" s="84"/>
      <c r="KCA3" s="84"/>
      <c r="KCB3" s="84"/>
      <c r="KCC3" s="84"/>
      <c r="KCD3" s="84"/>
      <c r="KCE3" s="84"/>
      <c r="KCF3" s="84"/>
      <c r="KCG3" s="84"/>
      <c r="KCH3" s="84"/>
      <c r="KCI3" s="84"/>
      <c r="KCJ3" s="84"/>
      <c r="KCK3" s="84"/>
      <c r="KCL3" s="84"/>
      <c r="KCM3" s="84"/>
      <c r="KCN3" s="84"/>
      <c r="KCO3" s="84"/>
      <c r="KCP3" s="84"/>
      <c r="KCQ3" s="84"/>
      <c r="KCR3" s="84"/>
      <c r="KCS3" s="84"/>
      <c r="KCT3" s="84"/>
      <c r="KCU3" s="84"/>
      <c r="KCV3" s="84"/>
      <c r="KCW3" s="84"/>
      <c r="KCX3" s="84"/>
      <c r="KCY3" s="84"/>
      <c r="KCZ3" s="84"/>
      <c r="KDA3" s="84"/>
      <c r="KDB3" s="84"/>
      <c r="KDC3" s="84"/>
      <c r="KDD3" s="84"/>
      <c r="KDE3" s="84"/>
      <c r="KDF3" s="84"/>
      <c r="KDG3" s="84"/>
      <c r="KDH3" s="84"/>
      <c r="KDI3" s="84"/>
      <c r="KDJ3" s="84"/>
      <c r="KDK3" s="84"/>
      <c r="KDL3" s="84"/>
      <c r="KDM3" s="84"/>
      <c r="KDN3" s="84"/>
      <c r="KDO3" s="84"/>
      <c r="KDP3" s="84"/>
      <c r="KDQ3" s="84"/>
      <c r="KDR3" s="84"/>
      <c r="KDS3" s="84"/>
      <c r="KDT3" s="84"/>
      <c r="KDU3" s="84"/>
      <c r="KDV3" s="84"/>
      <c r="KDW3" s="84"/>
      <c r="KDX3" s="84"/>
      <c r="KDY3" s="84"/>
      <c r="KDZ3" s="84"/>
      <c r="KEA3" s="84"/>
      <c r="KEB3" s="84"/>
      <c r="KEC3" s="84"/>
      <c r="KED3" s="84"/>
      <c r="KEE3" s="84"/>
      <c r="KEF3" s="84"/>
      <c r="KEG3" s="84"/>
      <c r="KEH3" s="84"/>
      <c r="KEI3" s="84"/>
      <c r="KEJ3" s="84"/>
      <c r="KEK3" s="84"/>
      <c r="KEL3" s="84"/>
      <c r="KEM3" s="84"/>
      <c r="KEN3" s="84"/>
      <c r="KEO3" s="84"/>
      <c r="KEP3" s="84"/>
      <c r="KEQ3" s="84"/>
      <c r="KER3" s="84"/>
      <c r="KES3" s="84"/>
      <c r="KET3" s="84"/>
      <c r="KEU3" s="84"/>
      <c r="KEV3" s="84"/>
      <c r="KEW3" s="84"/>
      <c r="KEX3" s="84"/>
      <c r="KEY3" s="84"/>
      <c r="KEZ3" s="84"/>
      <c r="KFA3" s="84"/>
      <c r="KFB3" s="84"/>
      <c r="KFC3" s="84"/>
      <c r="KFD3" s="84"/>
      <c r="KFE3" s="84"/>
      <c r="KFF3" s="84"/>
      <c r="KFG3" s="84"/>
      <c r="KFH3" s="84"/>
      <c r="KFI3" s="84"/>
      <c r="KFJ3" s="84"/>
      <c r="KFK3" s="84"/>
      <c r="KFL3" s="84"/>
      <c r="KFM3" s="84"/>
      <c r="KFN3" s="84"/>
      <c r="KFO3" s="84"/>
      <c r="KFP3" s="84"/>
      <c r="KFQ3" s="84"/>
      <c r="KFR3" s="84"/>
      <c r="KFS3" s="84"/>
      <c r="KFT3" s="84"/>
      <c r="KFU3" s="84"/>
      <c r="KFV3" s="84"/>
      <c r="KFW3" s="84"/>
      <c r="KFX3" s="84"/>
      <c r="KFY3" s="84"/>
      <c r="KFZ3" s="84"/>
      <c r="KGA3" s="84"/>
      <c r="KGB3" s="84"/>
      <c r="KGC3" s="84"/>
      <c r="KGD3" s="84"/>
      <c r="KGE3" s="84"/>
      <c r="KGF3" s="84"/>
      <c r="KGG3" s="84"/>
      <c r="KGH3" s="84"/>
      <c r="KGI3" s="84"/>
      <c r="KGJ3" s="84"/>
      <c r="KGK3" s="84"/>
      <c r="KGL3" s="84"/>
      <c r="KGM3" s="84"/>
      <c r="KGN3" s="84"/>
      <c r="KGO3" s="84"/>
      <c r="KGP3" s="84"/>
      <c r="KGQ3" s="84"/>
      <c r="KGR3" s="84"/>
      <c r="KGS3" s="84"/>
      <c r="KGT3" s="84"/>
      <c r="KGU3" s="84"/>
      <c r="KGV3" s="84"/>
      <c r="KGW3" s="84"/>
      <c r="KGX3" s="84"/>
      <c r="KGY3" s="84"/>
      <c r="KGZ3" s="84"/>
      <c r="KHA3" s="84"/>
      <c r="KHB3" s="84"/>
      <c r="KHC3" s="84"/>
      <c r="KHD3" s="84"/>
      <c r="KHE3" s="84"/>
      <c r="KHF3" s="84"/>
      <c r="KHG3" s="84"/>
      <c r="KHH3" s="84"/>
      <c r="KHI3" s="84"/>
      <c r="KHJ3" s="84"/>
      <c r="KHK3" s="84"/>
      <c r="KHL3" s="84"/>
      <c r="KHM3" s="84"/>
      <c r="KHN3" s="84"/>
      <c r="KHO3" s="84"/>
      <c r="KHP3" s="84"/>
      <c r="KHQ3" s="84"/>
      <c r="KHR3" s="84"/>
      <c r="KHS3" s="84"/>
      <c r="KHT3" s="84"/>
      <c r="KHU3" s="84"/>
      <c r="KHV3" s="84"/>
      <c r="KHW3" s="84"/>
      <c r="KHX3" s="84"/>
      <c r="KHY3" s="84"/>
      <c r="KHZ3" s="84"/>
      <c r="KIA3" s="84"/>
      <c r="KIB3" s="84"/>
      <c r="KIC3" s="84"/>
      <c r="KID3" s="84"/>
      <c r="KIE3" s="84"/>
      <c r="KIF3" s="84"/>
      <c r="KIG3" s="84"/>
      <c r="KIH3" s="84"/>
      <c r="KII3" s="84"/>
      <c r="KIJ3" s="84"/>
      <c r="KIK3" s="84"/>
      <c r="KIL3" s="84"/>
      <c r="KIM3" s="84"/>
      <c r="KIN3" s="84"/>
      <c r="KIO3" s="84"/>
      <c r="KIP3" s="84"/>
      <c r="KIQ3" s="84"/>
      <c r="KIR3" s="84"/>
      <c r="KIS3" s="84"/>
      <c r="KIT3" s="84"/>
      <c r="KIU3" s="84"/>
      <c r="KIV3" s="84"/>
      <c r="KIW3" s="84"/>
      <c r="KIX3" s="84"/>
      <c r="KIY3" s="84"/>
      <c r="KIZ3" s="84"/>
      <c r="KJA3" s="84"/>
      <c r="KJB3" s="84"/>
      <c r="KJC3" s="84"/>
      <c r="KJD3" s="84"/>
      <c r="KJE3" s="84"/>
      <c r="KJF3" s="84"/>
      <c r="KJG3" s="84"/>
      <c r="KJH3" s="84"/>
      <c r="KJI3" s="84"/>
      <c r="KJJ3" s="84"/>
      <c r="KJK3" s="84"/>
      <c r="KJL3" s="84"/>
      <c r="KJM3" s="84"/>
      <c r="KJN3" s="84"/>
      <c r="KJO3" s="84"/>
      <c r="KJP3" s="84"/>
      <c r="KJQ3" s="84"/>
      <c r="KJR3" s="84"/>
      <c r="KJS3" s="84"/>
      <c r="KJT3" s="84"/>
      <c r="KJU3" s="84"/>
      <c r="KJV3" s="84"/>
      <c r="KJW3" s="84"/>
      <c r="KJX3" s="84"/>
      <c r="KJY3" s="84"/>
      <c r="KJZ3" s="84"/>
      <c r="KKA3" s="84"/>
      <c r="KKB3" s="84"/>
      <c r="KKC3" s="84"/>
      <c r="KKD3" s="84"/>
      <c r="KKE3" s="84"/>
      <c r="KKF3" s="84"/>
      <c r="KKG3" s="84"/>
      <c r="KKH3" s="84"/>
      <c r="KKI3" s="84"/>
      <c r="KKJ3" s="84"/>
      <c r="KKK3" s="84"/>
      <c r="KKL3" s="84"/>
      <c r="KKM3" s="84"/>
      <c r="KKN3" s="84"/>
      <c r="KKO3" s="84"/>
      <c r="KKP3" s="84"/>
      <c r="KKQ3" s="84"/>
      <c r="KKR3" s="84"/>
      <c r="KKS3" s="84"/>
      <c r="KKT3" s="84"/>
      <c r="KKU3" s="84"/>
      <c r="KKV3" s="84"/>
      <c r="KKW3" s="84"/>
      <c r="KKX3" s="84"/>
      <c r="KKY3" s="84"/>
      <c r="KKZ3" s="84"/>
      <c r="KLA3" s="84"/>
      <c r="KLB3" s="84"/>
      <c r="KLC3" s="84"/>
      <c r="KLD3" s="84"/>
      <c r="KLE3" s="84"/>
      <c r="KLF3" s="84"/>
      <c r="KLG3" s="84"/>
      <c r="KLH3" s="84"/>
      <c r="KLI3" s="84"/>
      <c r="KLJ3" s="84"/>
      <c r="KLK3" s="84"/>
      <c r="KLL3" s="84"/>
      <c r="KLM3" s="84"/>
      <c r="KLN3" s="84"/>
      <c r="KLO3" s="84"/>
      <c r="KLP3" s="84"/>
      <c r="KLQ3" s="84"/>
      <c r="KLR3" s="84"/>
      <c r="KLS3" s="84"/>
      <c r="KLT3" s="84"/>
      <c r="KLU3" s="84"/>
      <c r="KLV3" s="84"/>
      <c r="KLW3" s="84"/>
      <c r="KLX3" s="84"/>
      <c r="KLY3" s="84"/>
      <c r="KLZ3" s="84"/>
      <c r="KMA3" s="84"/>
      <c r="KMB3" s="84"/>
      <c r="KMC3" s="84"/>
      <c r="KMD3" s="84"/>
      <c r="KME3" s="84"/>
      <c r="KMF3" s="84"/>
      <c r="KMG3" s="84"/>
      <c r="KMH3" s="84"/>
      <c r="KMI3" s="84"/>
      <c r="KMJ3" s="84"/>
      <c r="KMK3" s="84"/>
      <c r="KML3" s="84"/>
      <c r="KMM3" s="84"/>
      <c r="KMN3" s="84"/>
      <c r="KMO3" s="84"/>
      <c r="KMP3" s="84"/>
      <c r="KMQ3" s="84"/>
      <c r="KMR3" s="84"/>
      <c r="KMS3" s="84"/>
      <c r="KMT3" s="84"/>
      <c r="KMU3" s="84"/>
      <c r="KMV3" s="84"/>
      <c r="KMW3" s="84"/>
      <c r="KMX3" s="84"/>
      <c r="KMY3" s="84"/>
      <c r="KMZ3" s="84"/>
      <c r="KNA3" s="84"/>
      <c r="KNB3" s="84"/>
      <c r="KNC3" s="84"/>
      <c r="KND3" s="84"/>
      <c r="KNE3" s="84"/>
      <c r="KNF3" s="84"/>
      <c r="KNG3" s="84"/>
      <c r="KNH3" s="84"/>
      <c r="KNI3" s="84"/>
      <c r="KNJ3" s="84"/>
      <c r="KNK3" s="84"/>
      <c r="KNL3" s="84"/>
      <c r="KNM3" s="84"/>
      <c r="KNN3" s="84"/>
      <c r="KNO3" s="84"/>
      <c r="KNP3" s="84"/>
      <c r="KNQ3" s="84"/>
      <c r="KNR3" s="84"/>
      <c r="KNS3" s="84"/>
      <c r="KNT3" s="84"/>
      <c r="KNU3" s="84"/>
      <c r="KNV3" s="84"/>
      <c r="KNW3" s="84"/>
      <c r="KNX3" s="84"/>
      <c r="KNY3" s="84"/>
      <c r="KNZ3" s="84"/>
      <c r="KOA3" s="84"/>
      <c r="KOB3" s="84"/>
      <c r="KOC3" s="84"/>
      <c r="KOD3" s="84"/>
      <c r="KOE3" s="84"/>
      <c r="KOF3" s="84"/>
      <c r="KOG3" s="84"/>
      <c r="KOH3" s="84"/>
      <c r="KOI3" s="84"/>
      <c r="KOJ3" s="84"/>
      <c r="KOK3" s="84"/>
      <c r="KOL3" s="84"/>
      <c r="KOM3" s="84"/>
      <c r="KON3" s="84"/>
      <c r="KOO3" s="84"/>
      <c r="KOP3" s="84"/>
      <c r="KOQ3" s="84"/>
      <c r="KOR3" s="84"/>
      <c r="KOS3" s="84"/>
      <c r="KOT3" s="84"/>
      <c r="KOU3" s="84"/>
      <c r="KOV3" s="84"/>
      <c r="KOW3" s="84"/>
      <c r="KOX3" s="84"/>
      <c r="KOY3" s="84"/>
      <c r="KOZ3" s="84"/>
      <c r="KPA3" s="84"/>
      <c r="KPB3" s="84"/>
      <c r="KPC3" s="84"/>
      <c r="KPD3" s="84"/>
      <c r="KPE3" s="84"/>
      <c r="KPF3" s="84"/>
      <c r="KPG3" s="84"/>
      <c r="KPH3" s="84"/>
      <c r="KPI3" s="84"/>
      <c r="KPJ3" s="84"/>
      <c r="KPK3" s="84"/>
      <c r="KPL3" s="84"/>
      <c r="KPM3" s="84"/>
      <c r="KPN3" s="84"/>
      <c r="KPO3" s="84"/>
      <c r="KPP3" s="84"/>
      <c r="KPQ3" s="84"/>
      <c r="KPR3" s="84"/>
      <c r="KPS3" s="84"/>
      <c r="KPT3" s="84"/>
      <c r="KPU3" s="84"/>
      <c r="KPV3" s="84"/>
      <c r="KPW3" s="84"/>
      <c r="KPX3" s="84"/>
      <c r="KPY3" s="84"/>
      <c r="KPZ3" s="84"/>
      <c r="KQA3" s="84"/>
      <c r="KQB3" s="84"/>
      <c r="KQC3" s="84"/>
      <c r="KQD3" s="84"/>
      <c r="KQE3" s="84"/>
      <c r="KQF3" s="84"/>
      <c r="KQG3" s="84"/>
      <c r="KQH3" s="84"/>
      <c r="KQI3" s="84"/>
      <c r="KQJ3" s="84"/>
      <c r="KQK3" s="84"/>
      <c r="KQL3" s="84"/>
      <c r="KQM3" s="84"/>
      <c r="KQN3" s="84"/>
      <c r="KQO3" s="84"/>
      <c r="KQP3" s="84"/>
      <c r="KQQ3" s="84"/>
      <c r="KQR3" s="84"/>
      <c r="KQS3" s="84"/>
      <c r="KQT3" s="84"/>
      <c r="KQU3" s="84"/>
      <c r="KQV3" s="84"/>
      <c r="KQW3" s="84"/>
      <c r="KQX3" s="84"/>
      <c r="KQY3" s="84"/>
      <c r="KQZ3" s="84"/>
      <c r="KRA3" s="84"/>
      <c r="KRB3" s="84"/>
      <c r="KRC3" s="84"/>
      <c r="KRD3" s="84"/>
      <c r="KRE3" s="84"/>
      <c r="KRF3" s="84"/>
      <c r="KRG3" s="84"/>
      <c r="KRH3" s="84"/>
      <c r="KRI3" s="84"/>
      <c r="KRJ3" s="84"/>
      <c r="KRK3" s="84"/>
      <c r="KRL3" s="84"/>
      <c r="KRM3" s="84"/>
      <c r="KRN3" s="84"/>
      <c r="KRO3" s="84"/>
      <c r="KRP3" s="84"/>
      <c r="KRQ3" s="84"/>
      <c r="KRR3" s="84"/>
      <c r="KRS3" s="84"/>
      <c r="KRT3" s="84"/>
      <c r="KRU3" s="84"/>
      <c r="KRV3" s="84"/>
      <c r="KRW3" s="84"/>
      <c r="KRX3" s="84"/>
      <c r="KRY3" s="84"/>
      <c r="KRZ3" s="84"/>
      <c r="KSA3" s="84"/>
      <c r="KSB3" s="84"/>
      <c r="KSC3" s="84"/>
      <c r="KSD3" s="84"/>
      <c r="KSE3" s="84"/>
      <c r="KSF3" s="84"/>
      <c r="KSG3" s="84"/>
      <c r="KSH3" s="84"/>
      <c r="KSI3" s="84"/>
      <c r="KSJ3" s="84"/>
      <c r="KSK3" s="84"/>
      <c r="KSL3" s="84"/>
      <c r="KSM3" s="84"/>
      <c r="KSN3" s="84"/>
      <c r="KSO3" s="84"/>
      <c r="KSP3" s="84"/>
      <c r="KSQ3" s="84"/>
      <c r="KSR3" s="84"/>
      <c r="KSS3" s="84"/>
      <c r="KST3" s="84"/>
      <c r="KSU3" s="84"/>
      <c r="KSV3" s="84"/>
      <c r="KSW3" s="84"/>
      <c r="KSX3" s="84"/>
      <c r="KSY3" s="84"/>
      <c r="KSZ3" s="84"/>
      <c r="KTA3" s="84"/>
      <c r="KTB3" s="84"/>
      <c r="KTC3" s="84"/>
      <c r="KTD3" s="84"/>
      <c r="KTE3" s="84"/>
      <c r="KTF3" s="84"/>
      <c r="KTG3" s="84"/>
      <c r="KTH3" s="84"/>
      <c r="KTI3" s="84"/>
      <c r="KTJ3" s="84"/>
      <c r="KTK3" s="84"/>
      <c r="KTL3" s="84"/>
      <c r="KTM3" s="84"/>
      <c r="KTN3" s="84"/>
      <c r="KTO3" s="84"/>
      <c r="KTP3" s="84"/>
      <c r="KTQ3" s="84"/>
      <c r="KTR3" s="84"/>
      <c r="KTS3" s="84"/>
      <c r="KTT3" s="84"/>
      <c r="KTU3" s="84"/>
      <c r="KTV3" s="84"/>
      <c r="KTW3" s="84"/>
      <c r="KTX3" s="84"/>
      <c r="KTY3" s="84"/>
      <c r="KTZ3" s="84"/>
      <c r="KUA3" s="84"/>
      <c r="KUB3" s="84"/>
      <c r="KUC3" s="84"/>
      <c r="KUD3" s="84"/>
      <c r="KUE3" s="84"/>
      <c r="KUF3" s="84"/>
      <c r="KUG3" s="84"/>
      <c r="KUH3" s="84"/>
      <c r="KUI3" s="84"/>
      <c r="KUJ3" s="84"/>
      <c r="KUK3" s="84"/>
      <c r="KUL3" s="84"/>
      <c r="KUM3" s="84"/>
      <c r="KUN3" s="84"/>
      <c r="KUO3" s="84"/>
      <c r="KUP3" s="84"/>
      <c r="KUQ3" s="84"/>
      <c r="KUR3" s="84"/>
      <c r="KUS3" s="84"/>
      <c r="KUT3" s="84"/>
      <c r="KUU3" s="84"/>
      <c r="KUV3" s="84"/>
      <c r="KUW3" s="84"/>
      <c r="KUX3" s="84"/>
      <c r="KUY3" s="84"/>
      <c r="KUZ3" s="84"/>
      <c r="KVA3" s="84"/>
      <c r="KVB3" s="84"/>
      <c r="KVC3" s="84"/>
      <c r="KVD3" s="84"/>
      <c r="KVE3" s="84"/>
      <c r="KVF3" s="84"/>
      <c r="KVG3" s="84"/>
      <c r="KVH3" s="84"/>
      <c r="KVI3" s="84"/>
      <c r="KVJ3" s="84"/>
      <c r="KVK3" s="84"/>
      <c r="KVL3" s="84"/>
      <c r="KVM3" s="84"/>
      <c r="KVN3" s="84"/>
      <c r="KVO3" s="84"/>
      <c r="KVP3" s="84"/>
      <c r="KVQ3" s="84"/>
      <c r="KVR3" s="84"/>
      <c r="KVS3" s="84"/>
      <c r="KVT3" s="84"/>
      <c r="KVU3" s="84"/>
      <c r="KVV3" s="84"/>
      <c r="KVW3" s="84"/>
      <c r="KVX3" s="84"/>
      <c r="KVY3" s="84"/>
      <c r="KVZ3" s="84"/>
      <c r="KWA3" s="84"/>
      <c r="KWB3" s="84"/>
      <c r="KWC3" s="84"/>
      <c r="KWD3" s="84"/>
      <c r="KWE3" s="84"/>
      <c r="KWF3" s="84"/>
      <c r="KWG3" s="84"/>
      <c r="KWH3" s="84"/>
      <c r="KWI3" s="84"/>
      <c r="KWJ3" s="84"/>
      <c r="KWK3" s="84"/>
      <c r="KWL3" s="84"/>
      <c r="KWM3" s="84"/>
      <c r="KWN3" s="84"/>
      <c r="KWO3" s="84"/>
      <c r="KWP3" s="84"/>
      <c r="KWQ3" s="84"/>
      <c r="KWR3" s="84"/>
      <c r="KWS3" s="84"/>
      <c r="KWT3" s="84"/>
      <c r="KWU3" s="84"/>
      <c r="KWV3" s="84"/>
      <c r="KWW3" s="84"/>
      <c r="KWX3" s="84"/>
      <c r="KWY3" s="84"/>
      <c r="KWZ3" s="84"/>
      <c r="KXA3" s="84"/>
      <c r="KXB3" s="84"/>
      <c r="KXC3" s="84"/>
      <c r="KXD3" s="84"/>
      <c r="KXE3" s="84"/>
      <c r="KXF3" s="84"/>
      <c r="KXG3" s="84"/>
      <c r="KXH3" s="84"/>
      <c r="KXI3" s="84"/>
      <c r="KXJ3" s="84"/>
      <c r="KXK3" s="84"/>
      <c r="KXL3" s="84"/>
      <c r="KXM3" s="84"/>
      <c r="KXN3" s="84"/>
      <c r="KXO3" s="84"/>
      <c r="KXP3" s="84"/>
      <c r="KXQ3" s="84"/>
      <c r="KXR3" s="84"/>
      <c r="KXS3" s="84"/>
      <c r="KXT3" s="84"/>
      <c r="KXU3" s="84"/>
      <c r="KXV3" s="84"/>
      <c r="KXW3" s="84"/>
      <c r="KXX3" s="84"/>
      <c r="KXY3" s="84"/>
      <c r="KXZ3" s="84"/>
      <c r="KYA3" s="84"/>
      <c r="KYB3" s="84"/>
      <c r="KYC3" s="84"/>
      <c r="KYD3" s="84"/>
      <c r="KYE3" s="84"/>
      <c r="KYF3" s="84"/>
      <c r="KYG3" s="84"/>
      <c r="KYH3" s="84"/>
      <c r="KYI3" s="84"/>
      <c r="KYJ3" s="84"/>
      <c r="KYK3" s="84"/>
      <c r="KYL3" s="84"/>
      <c r="KYM3" s="84"/>
      <c r="KYN3" s="84"/>
      <c r="KYO3" s="84"/>
      <c r="KYP3" s="84"/>
      <c r="KYQ3" s="84"/>
      <c r="KYR3" s="84"/>
      <c r="KYS3" s="84"/>
      <c r="KYT3" s="84"/>
      <c r="KYU3" s="84"/>
      <c r="KYV3" s="84"/>
      <c r="KYW3" s="84"/>
      <c r="KYX3" s="84"/>
      <c r="KYY3" s="84"/>
      <c r="KYZ3" s="84"/>
      <c r="KZA3" s="84"/>
      <c r="KZB3" s="84"/>
      <c r="KZC3" s="84"/>
      <c r="KZD3" s="84"/>
      <c r="KZE3" s="84"/>
      <c r="KZF3" s="84"/>
      <c r="KZG3" s="84"/>
      <c r="KZH3" s="84"/>
      <c r="KZI3" s="84"/>
      <c r="KZJ3" s="84"/>
      <c r="KZK3" s="84"/>
      <c r="KZL3" s="84"/>
      <c r="KZM3" s="84"/>
      <c r="KZN3" s="84"/>
      <c r="KZO3" s="84"/>
      <c r="KZP3" s="84"/>
      <c r="KZQ3" s="84"/>
      <c r="KZR3" s="84"/>
      <c r="KZS3" s="84"/>
      <c r="KZT3" s="84"/>
      <c r="KZU3" s="84"/>
      <c r="KZV3" s="84"/>
      <c r="KZW3" s="84"/>
      <c r="KZX3" s="84"/>
      <c r="KZY3" s="84"/>
      <c r="KZZ3" s="84"/>
      <c r="LAA3" s="84"/>
      <c r="LAB3" s="84"/>
      <c r="LAC3" s="84"/>
      <c r="LAD3" s="84"/>
      <c r="LAE3" s="84"/>
      <c r="LAF3" s="84"/>
      <c r="LAG3" s="84"/>
      <c r="LAH3" s="84"/>
      <c r="LAI3" s="84"/>
      <c r="LAJ3" s="84"/>
      <c r="LAK3" s="84"/>
      <c r="LAL3" s="84"/>
      <c r="LAM3" s="84"/>
      <c r="LAN3" s="84"/>
      <c r="LAO3" s="84"/>
      <c r="LAP3" s="84"/>
      <c r="LAQ3" s="84"/>
      <c r="LAR3" s="84"/>
      <c r="LAS3" s="84"/>
      <c r="LAT3" s="84"/>
      <c r="LAU3" s="84"/>
      <c r="LAV3" s="84"/>
      <c r="LAW3" s="84"/>
      <c r="LAX3" s="84"/>
      <c r="LAY3" s="84"/>
      <c r="LAZ3" s="84"/>
      <c r="LBA3" s="84"/>
      <c r="LBB3" s="84"/>
      <c r="LBC3" s="84"/>
      <c r="LBD3" s="84"/>
      <c r="LBE3" s="84"/>
      <c r="LBF3" s="84"/>
      <c r="LBG3" s="84"/>
      <c r="LBH3" s="84"/>
      <c r="LBI3" s="84"/>
      <c r="LBJ3" s="84"/>
      <c r="LBK3" s="84"/>
      <c r="LBL3" s="84"/>
      <c r="LBM3" s="84"/>
      <c r="LBN3" s="84"/>
      <c r="LBO3" s="84"/>
      <c r="LBP3" s="84"/>
      <c r="LBQ3" s="84"/>
      <c r="LBR3" s="84"/>
      <c r="LBS3" s="84"/>
      <c r="LBT3" s="84"/>
      <c r="LBU3" s="84"/>
      <c r="LBV3" s="84"/>
      <c r="LBW3" s="84"/>
      <c r="LBX3" s="84"/>
      <c r="LBY3" s="84"/>
      <c r="LBZ3" s="84"/>
      <c r="LCA3" s="84"/>
      <c r="LCB3" s="84"/>
      <c r="LCC3" s="84"/>
      <c r="LCD3" s="84"/>
      <c r="LCE3" s="84"/>
      <c r="LCF3" s="84"/>
      <c r="LCG3" s="84"/>
      <c r="LCH3" s="84"/>
      <c r="LCI3" s="84"/>
      <c r="LCJ3" s="84"/>
      <c r="LCK3" s="84"/>
      <c r="LCL3" s="84"/>
      <c r="LCM3" s="84"/>
      <c r="LCN3" s="84"/>
      <c r="LCO3" s="84"/>
      <c r="LCP3" s="84"/>
      <c r="LCQ3" s="84"/>
      <c r="LCR3" s="84"/>
      <c r="LCS3" s="84"/>
      <c r="LCT3" s="84"/>
      <c r="LCU3" s="84"/>
      <c r="LCV3" s="84"/>
      <c r="LCW3" s="84"/>
      <c r="LCX3" s="84"/>
      <c r="LCY3" s="84"/>
      <c r="LCZ3" s="84"/>
      <c r="LDA3" s="84"/>
      <c r="LDB3" s="84"/>
      <c r="LDC3" s="84"/>
      <c r="LDD3" s="84"/>
      <c r="LDE3" s="84"/>
      <c r="LDF3" s="84"/>
      <c r="LDG3" s="84"/>
      <c r="LDH3" s="84"/>
      <c r="LDI3" s="84"/>
      <c r="LDJ3" s="84"/>
      <c r="LDK3" s="84"/>
      <c r="LDL3" s="84"/>
      <c r="LDM3" s="84"/>
      <c r="LDN3" s="84"/>
      <c r="LDO3" s="84"/>
      <c r="LDP3" s="84"/>
      <c r="LDQ3" s="84"/>
      <c r="LDR3" s="84"/>
      <c r="LDS3" s="84"/>
      <c r="LDT3" s="84"/>
      <c r="LDU3" s="84"/>
      <c r="LDV3" s="84"/>
      <c r="LDW3" s="84"/>
      <c r="LDX3" s="84"/>
      <c r="LDY3" s="84"/>
      <c r="LDZ3" s="84"/>
      <c r="LEA3" s="84"/>
      <c r="LEB3" s="84"/>
      <c r="LEC3" s="84"/>
      <c r="LED3" s="84"/>
      <c r="LEE3" s="84"/>
      <c r="LEF3" s="84"/>
      <c r="LEG3" s="84"/>
      <c r="LEH3" s="84"/>
      <c r="LEI3" s="84"/>
      <c r="LEJ3" s="84"/>
      <c r="LEK3" s="84"/>
      <c r="LEL3" s="84"/>
      <c r="LEM3" s="84"/>
      <c r="LEN3" s="84"/>
      <c r="LEO3" s="84"/>
      <c r="LEP3" s="84"/>
      <c r="LEQ3" s="84"/>
      <c r="LER3" s="84"/>
      <c r="LES3" s="84"/>
      <c r="LET3" s="84"/>
      <c r="LEU3" s="84"/>
      <c r="LEV3" s="84"/>
      <c r="LEW3" s="84"/>
      <c r="LEX3" s="84"/>
      <c r="LEY3" s="84"/>
      <c r="LEZ3" s="84"/>
      <c r="LFA3" s="84"/>
      <c r="LFB3" s="84"/>
      <c r="LFC3" s="84"/>
      <c r="LFD3" s="84"/>
      <c r="LFE3" s="84"/>
      <c r="LFF3" s="84"/>
      <c r="LFG3" s="84"/>
      <c r="LFH3" s="84"/>
      <c r="LFI3" s="84"/>
      <c r="LFJ3" s="84"/>
      <c r="LFK3" s="84"/>
      <c r="LFL3" s="84"/>
      <c r="LFM3" s="84"/>
      <c r="LFN3" s="84"/>
      <c r="LFO3" s="84"/>
      <c r="LFP3" s="84"/>
      <c r="LFQ3" s="84"/>
      <c r="LFR3" s="84"/>
      <c r="LFS3" s="84"/>
      <c r="LFT3" s="84"/>
      <c r="LFU3" s="84"/>
      <c r="LFV3" s="84"/>
      <c r="LFW3" s="84"/>
      <c r="LFX3" s="84"/>
      <c r="LFY3" s="84"/>
      <c r="LFZ3" s="84"/>
      <c r="LGA3" s="84"/>
      <c r="LGB3" s="84"/>
      <c r="LGC3" s="84"/>
      <c r="LGD3" s="84"/>
      <c r="LGE3" s="84"/>
      <c r="LGF3" s="84"/>
      <c r="LGG3" s="84"/>
      <c r="LGH3" s="84"/>
      <c r="LGI3" s="84"/>
      <c r="LGJ3" s="84"/>
      <c r="LGK3" s="84"/>
      <c r="LGL3" s="84"/>
      <c r="LGM3" s="84"/>
      <c r="LGN3" s="84"/>
      <c r="LGO3" s="84"/>
      <c r="LGP3" s="84"/>
      <c r="LGQ3" s="84"/>
      <c r="LGR3" s="84"/>
      <c r="LGS3" s="84"/>
      <c r="LGT3" s="84"/>
      <c r="LGU3" s="84"/>
      <c r="LGV3" s="84"/>
      <c r="LGW3" s="84"/>
      <c r="LGX3" s="84"/>
      <c r="LGY3" s="84"/>
      <c r="LGZ3" s="84"/>
      <c r="LHA3" s="84"/>
      <c r="LHB3" s="84"/>
      <c r="LHC3" s="84"/>
      <c r="LHD3" s="84"/>
      <c r="LHE3" s="84"/>
      <c r="LHF3" s="84"/>
      <c r="LHG3" s="84"/>
      <c r="LHH3" s="84"/>
      <c r="LHI3" s="84"/>
      <c r="LHJ3" s="84"/>
      <c r="LHK3" s="84"/>
      <c r="LHL3" s="84"/>
      <c r="LHM3" s="84"/>
      <c r="LHN3" s="84"/>
      <c r="LHO3" s="84"/>
      <c r="LHP3" s="84"/>
      <c r="LHQ3" s="84"/>
      <c r="LHR3" s="84"/>
      <c r="LHS3" s="84"/>
      <c r="LHT3" s="84"/>
      <c r="LHU3" s="84"/>
      <c r="LHV3" s="84"/>
      <c r="LHW3" s="84"/>
      <c r="LHX3" s="84"/>
      <c r="LHY3" s="84"/>
      <c r="LHZ3" s="84"/>
      <c r="LIA3" s="84"/>
      <c r="LIB3" s="84"/>
      <c r="LIC3" s="84"/>
      <c r="LID3" s="84"/>
      <c r="LIE3" s="84"/>
      <c r="LIF3" s="84"/>
      <c r="LIG3" s="84"/>
      <c r="LIH3" s="84"/>
      <c r="LII3" s="84"/>
      <c r="LIJ3" s="84"/>
      <c r="LIK3" s="84"/>
      <c r="LIL3" s="84"/>
      <c r="LIM3" s="84"/>
      <c r="LIN3" s="84"/>
      <c r="LIO3" s="84"/>
      <c r="LIP3" s="84"/>
      <c r="LIQ3" s="84"/>
      <c r="LIR3" s="84"/>
      <c r="LIS3" s="84"/>
      <c r="LIT3" s="84"/>
      <c r="LIU3" s="84"/>
      <c r="LIV3" s="84"/>
      <c r="LIW3" s="84"/>
      <c r="LIX3" s="84"/>
      <c r="LIY3" s="84"/>
      <c r="LIZ3" s="84"/>
      <c r="LJA3" s="84"/>
      <c r="LJB3" s="84"/>
      <c r="LJC3" s="84"/>
      <c r="LJD3" s="84"/>
      <c r="LJE3" s="84"/>
      <c r="LJF3" s="84"/>
      <c r="LJG3" s="84"/>
      <c r="LJH3" s="84"/>
      <c r="LJI3" s="84"/>
      <c r="LJJ3" s="84"/>
      <c r="LJK3" s="84"/>
      <c r="LJL3" s="84"/>
      <c r="LJM3" s="84"/>
      <c r="LJN3" s="84"/>
      <c r="LJO3" s="84"/>
      <c r="LJP3" s="84"/>
      <c r="LJQ3" s="84"/>
      <c r="LJR3" s="84"/>
      <c r="LJS3" s="84"/>
      <c r="LJT3" s="84"/>
      <c r="LJU3" s="84"/>
      <c r="LJV3" s="84"/>
      <c r="LJW3" s="84"/>
      <c r="LJX3" s="84"/>
      <c r="LJY3" s="84"/>
      <c r="LJZ3" s="84"/>
      <c r="LKA3" s="84"/>
      <c r="LKB3" s="84"/>
      <c r="LKC3" s="84"/>
      <c r="LKD3" s="84"/>
      <c r="LKE3" s="84"/>
      <c r="LKF3" s="84"/>
      <c r="LKG3" s="84"/>
      <c r="LKH3" s="84"/>
      <c r="LKI3" s="84"/>
      <c r="LKJ3" s="84"/>
      <c r="LKK3" s="84"/>
      <c r="LKL3" s="84"/>
      <c r="LKM3" s="84"/>
      <c r="LKN3" s="84"/>
      <c r="LKO3" s="84"/>
      <c r="LKP3" s="84"/>
      <c r="LKQ3" s="84"/>
      <c r="LKR3" s="84"/>
      <c r="LKS3" s="84"/>
      <c r="LKT3" s="84"/>
      <c r="LKU3" s="84"/>
      <c r="LKV3" s="84"/>
      <c r="LKW3" s="84"/>
      <c r="LKX3" s="84"/>
      <c r="LKY3" s="84"/>
      <c r="LKZ3" s="84"/>
      <c r="LLA3" s="84"/>
      <c r="LLB3" s="84"/>
      <c r="LLC3" s="84"/>
      <c r="LLD3" s="84"/>
      <c r="LLE3" s="84"/>
      <c r="LLF3" s="84"/>
      <c r="LLG3" s="84"/>
      <c r="LLH3" s="84"/>
      <c r="LLI3" s="84"/>
      <c r="LLJ3" s="84"/>
      <c r="LLK3" s="84"/>
      <c r="LLL3" s="84"/>
      <c r="LLM3" s="84"/>
      <c r="LLN3" s="84"/>
      <c r="LLO3" s="84"/>
      <c r="LLP3" s="84"/>
      <c r="LLQ3" s="84"/>
      <c r="LLR3" s="84"/>
      <c r="LLS3" s="84"/>
      <c r="LLT3" s="84"/>
      <c r="LLU3" s="84"/>
      <c r="LLV3" s="84"/>
      <c r="LLW3" s="84"/>
      <c r="LLX3" s="84"/>
      <c r="LLY3" s="84"/>
      <c r="LLZ3" s="84"/>
      <c r="LMA3" s="84"/>
      <c r="LMB3" s="84"/>
      <c r="LMC3" s="84"/>
      <c r="LMD3" s="84"/>
      <c r="LME3" s="84"/>
      <c r="LMF3" s="84"/>
      <c r="LMG3" s="84"/>
      <c r="LMH3" s="84"/>
      <c r="LMI3" s="84"/>
      <c r="LMJ3" s="84"/>
      <c r="LMK3" s="84"/>
      <c r="LML3" s="84"/>
      <c r="LMM3" s="84"/>
      <c r="LMN3" s="84"/>
      <c r="LMO3" s="84"/>
      <c r="LMP3" s="84"/>
      <c r="LMQ3" s="84"/>
      <c r="LMR3" s="84"/>
      <c r="LMS3" s="84"/>
      <c r="LMT3" s="84"/>
      <c r="LMU3" s="84"/>
      <c r="LMV3" s="84"/>
      <c r="LMW3" s="84"/>
      <c r="LMX3" s="84"/>
      <c r="LMY3" s="84"/>
      <c r="LMZ3" s="84"/>
      <c r="LNA3" s="84"/>
      <c r="LNB3" s="84"/>
      <c r="LNC3" s="84"/>
      <c r="LND3" s="84"/>
      <c r="LNE3" s="84"/>
      <c r="LNF3" s="84"/>
      <c r="LNG3" s="84"/>
      <c r="LNH3" s="84"/>
      <c r="LNI3" s="84"/>
      <c r="LNJ3" s="84"/>
      <c r="LNK3" s="84"/>
      <c r="LNL3" s="84"/>
      <c r="LNM3" s="84"/>
      <c r="LNN3" s="84"/>
      <c r="LNO3" s="84"/>
      <c r="LNP3" s="84"/>
      <c r="LNQ3" s="84"/>
      <c r="LNR3" s="84"/>
      <c r="LNS3" s="84"/>
      <c r="LNT3" s="84"/>
      <c r="LNU3" s="84"/>
      <c r="LNV3" s="84"/>
      <c r="LNW3" s="84"/>
      <c r="LNX3" s="84"/>
      <c r="LNY3" s="84"/>
      <c r="LNZ3" s="84"/>
      <c r="LOA3" s="84"/>
      <c r="LOB3" s="84"/>
      <c r="LOC3" s="84"/>
      <c r="LOD3" s="84"/>
      <c r="LOE3" s="84"/>
      <c r="LOF3" s="84"/>
      <c r="LOG3" s="84"/>
      <c r="LOH3" s="84"/>
      <c r="LOI3" s="84"/>
      <c r="LOJ3" s="84"/>
      <c r="LOK3" s="84"/>
      <c r="LOL3" s="84"/>
      <c r="LOM3" s="84"/>
      <c r="LON3" s="84"/>
      <c r="LOO3" s="84"/>
      <c r="LOP3" s="84"/>
      <c r="LOQ3" s="84"/>
      <c r="LOR3" s="84"/>
      <c r="LOS3" s="84"/>
      <c r="LOT3" s="84"/>
      <c r="LOU3" s="84"/>
      <c r="LOV3" s="84"/>
      <c r="LOW3" s="84"/>
      <c r="LOX3" s="84"/>
      <c r="LOY3" s="84"/>
      <c r="LOZ3" s="84"/>
      <c r="LPA3" s="84"/>
      <c r="LPB3" s="84"/>
      <c r="LPC3" s="84"/>
      <c r="LPD3" s="84"/>
      <c r="LPE3" s="84"/>
      <c r="LPF3" s="84"/>
      <c r="LPG3" s="84"/>
      <c r="LPH3" s="84"/>
      <c r="LPI3" s="84"/>
      <c r="LPJ3" s="84"/>
      <c r="LPK3" s="84"/>
      <c r="LPL3" s="84"/>
      <c r="LPM3" s="84"/>
      <c r="LPN3" s="84"/>
      <c r="LPO3" s="84"/>
      <c r="LPP3" s="84"/>
      <c r="LPQ3" s="84"/>
      <c r="LPR3" s="84"/>
      <c r="LPS3" s="84"/>
      <c r="LPT3" s="84"/>
      <c r="LPU3" s="84"/>
      <c r="LPV3" s="84"/>
      <c r="LPW3" s="84"/>
      <c r="LPX3" s="84"/>
      <c r="LPY3" s="84"/>
      <c r="LPZ3" s="84"/>
      <c r="LQA3" s="84"/>
      <c r="LQB3" s="84"/>
      <c r="LQC3" s="84"/>
      <c r="LQD3" s="84"/>
      <c r="LQE3" s="84"/>
      <c r="LQF3" s="84"/>
      <c r="LQG3" s="84"/>
      <c r="LQH3" s="84"/>
      <c r="LQI3" s="84"/>
      <c r="LQJ3" s="84"/>
      <c r="LQK3" s="84"/>
      <c r="LQL3" s="84"/>
      <c r="LQM3" s="84"/>
      <c r="LQN3" s="84"/>
      <c r="LQO3" s="84"/>
      <c r="LQP3" s="84"/>
      <c r="LQQ3" s="84"/>
      <c r="LQR3" s="84"/>
      <c r="LQS3" s="84"/>
      <c r="LQT3" s="84"/>
      <c r="LQU3" s="84"/>
      <c r="LQV3" s="84"/>
      <c r="LQW3" s="84"/>
      <c r="LQX3" s="84"/>
      <c r="LQY3" s="84"/>
      <c r="LQZ3" s="84"/>
      <c r="LRA3" s="84"/>
      <c r="LRB3" s="84"/>
      <c r="LRC3" s="84"/>
      <c r="LRD3" s="84"/>
      <c r="LRE3" s="84"/>
      <c r="LRF3" s="84"/>
      <c r="LRG3" s="84"/>
      <c r="LRH3" s="84"/>
      <c r="LRI3" s="84"/>
      <c r="LRJ3" s="84"/>
      <c r="LRK3" s="84"/>
      <c r="LRL3" s="84"/>
      <c r="LRM3" s="84"/>
      <c r="LRN3" s="84"/>
      <c r="LRO3" s="84"/>
      <c r="LRP3" s="84"/>
      <c r="LRQ3" s="84"/>
      <c r="LRR3" s="84"/>
      <c r="LRS3" s="84"/>
      <c r="LRT3" s="84"/>
      <c r="LRU3" s="84"/>
      <c r="LRV3" s="84"/>
      <c r="LRW3" s="84"/>
      <c r="LRX3" s="84"/>
      <c r="LRY3" s="84"/>
      <c r="LRZ3" s="84"/>
      <c r="LSA3" s="84"/>
      <c r="LSB3" s="84"/>
      <c r="LSC3" s="84"/>
      <c r="LSD3" s="84"/>
      <c r="LSE3" s="84"/>
      <c r="LSF3" s="84"/>
      <c r="LSG3" s="84"/>
      <c r="LSH3" s="84"/>
      <c r="LSI3" s="84"/>
      <c r="LSJ3" s="84"/>
      <c r="LSK3" s="84"/>
      <c r="LSL3" s="84"/>
      <c r="LSM3" s="84"/>
      <c r="LSN3" s="84"/>
      <c r="LSO3" s="84"/>
      <c r="LSP3" s="84"/>
      <c r="LSQ3" s="84"/>
      <c r="LSR3" s="84"/>
      <c r="LSS3" s="84"/>
      <c r="LST3" s="84"/>
      <c r="LSU3" s="84"/>
      <c r="LSV3" s="84"/>
      <c r="LSW3" s="84"/>
      <c r="LSX3" s="84"/>
      <c r="LSY3" s="84"/>
      <c r="LSZ3" s="84"/>
      <c r="LTA3" s="84"/>
      <c r="LTB3" s="84"/>
      <c r="LTC3" s="84"/>
      <c r="LTD3" s="84"/>
      <c r="LTE3" s="84"/>
      <c r="LTF3" s="84"/>
      <c r="LTG3" s="84"/>
      <c r="LTH3" s="84"/>
      <c r="LTI3" s="84"/>
      <c r="LTJ3" s="84"/>
      <c r="LTK3" s="84"/>
      <c r="LTL3" s="84"/>
      <c r="LTM3" s="84"/>
      <c r="LTN3" s="84"/>
      <c r="LTO3" s="84"/>
      <c r="LTP3" s="84"/>
      <c r="LTQ3" s="84"/>
      <c r="LTR3" s="84"/>
      <c r="LTS3" s="84"/>
      <c r="LTT3" s="84"/>
      <c r="LTU3" s="84"/>
      <c r="LTV3" s="84"/>
      <c r="LTW3" s="84"/>
      <c r="LTX3" s="84"/>
      <c r="LTY3" s="84"/>
      <c r="LTZ3" s="84"/>
      <c r="LUA3" s="84"/>
      <c r="LUB3" s="84"/>
      <c r="LUC3" s="84"/>
      <c r="LUD3" s="84"/>
      <c r="LUE3" s="84"/>
      <c r="LUF3" s="84"/>
      <c r="LUG3" s="84"/>
      <c r="LUH3" s="84"/>
      <c r="LUI3" s="84"/>
      <c r="LUJ3" s="84"/>
      <c r="LUK3" s="84"/>
      <c r="LUL3" s="84"/>
      <c r="LUM3" s="84"/>
      <c r="LUN3" s="84"/>
      <c r="LUO3" s="84"/>
      <c r="LUP3" s="84"/>
      <c r="LUQ3" s="84"/>
      <c r="LUR3" s="84"/>
      <c r="LUS3" s="84"/>
      <c r="LUT3" s="84"/>
      <c r="LUU3" s="84"/>
      <c r="LUV3" s="84"/>
      <c r="LUW3" s="84"/>
      <c r="LUX3" s="84"/>
      <c r="LUY3" s="84"/>
      <c r="LUZ3" s="84"/>
      <c r="LVA3" s="84"/>
      <c r="LVB3" s="84"/>
      <c r="LVC3" s="84"/>
      <c r="LVD3" s="84"/>
      <c r="LVE3" s="84"/>
      <c r="LVF3" s="84"/>
      <c r="LVG3" s="84"/>
      <c r="LVH3" s="84"/>
      <c r="LVI3" s="84"/>
      <c r="LVJ3" s="84"/>
      <c r="LVK3" s="84"/>
      <c r="LVL3" s="84"/>
      <c r="LVM3" s="84"/>
      <c r="LVN3" s="84"/>
      <c r="LVO3" s="84"/>
      <c r="LVP3" s="84"/>
      <c r="LVQ3" s="84"/>
      <c r="LVR3" s="84"/>
      <c r="LVS3" s="84"/>
      <c r="LVT3" s="84"/>
      <c r="LVU3" s="84"/>
      <c r="LVV3" s="84"/>
      <c r="LVW3" s="84"/>
      <c r="LVX3" s="84"/>
      <c r="LVY3" s="84"/>
      <c r="LVZ3" s="84"/>
      <c r="LWA3" s="84"/>
      <c r="LWB3" s="84"/>
      <c r="LWC3" s="84"/>
      <c r="LWD3" s="84"/>
      <c r="LWE3" s="84"/>
      <c r="LWF3" s="84"/>
      <c r="LWG3" s="84"/>
      <c r="LWH3" s="84"/>
      <c r="LWI3" s="84"/>
      <c r="LWJ3" s="84"/>
      <c r="LWK3" s="84"/>
      <c r="LWL3" s="84"/>
      <c r="LWM3" s="84"/>
      <c r="LWN3" s="84"/>
      <c r="LWO3" s="84"/>
      <c r="LWP3" s="84"/>
      <c r="LWQ3" s="84"/>
      <c r="LWR3" s="84"/>
      <c r="LWS3" s="84"/>
      <c r="LWT3" s="84"/>
      <c r="LWU3" s="84"/>
      <c r="LWV3" s="84"/>
      <c r="LWW3" s="84"/>
      <c r="LWX3" s="84"/>
      <c r="LWY3" s="84"/>
      <c r="LWZ3" s="84"/>
      <c r="LXA3" s="84"/>
      <c r="LXB3" s="84"/>
      <c r="LXC3" s="84"/>
      <c r="LXD3" s="84"/>
      <c r="LXE3" s="84"/>
      <c r="LXF3" s="84"/>
      <c r="LXG3" s="84"/>
      <c r="LXH3" s="84"/>
      <c r="LXI3" s="84"/>
      <c r="LXJ3" s="84"/>
      <c r="LXK3" s="84"/>
      <c r="LXL3" s="84"/>
      <c r="LXM3" s="84"/>
      <c r="LXN3" s="84"/>
      <c r="LXO3" s="84"/>
      <c r="LXP3" s="84"/>
      <c r="LXQ3" s="84"/>
      <c r="LXR3" s="84"/>
      <c r="LXS3" s="84"/>
      <c r="LXT3" s="84"/>
      <c r="LXU3" s="84"/>
      <c r="LXV3" s="84"/>
      <c r="LXW3" s="84"/>
      <c r="LXX3" s="84"/>
      <c r="LXY3" s="84"/>
      <c r="LXZ3" s="84"/>
      <c r="LYA3" s="84"/>
      <c r="LYB3" s="84"/>
      <c r="LYC3" s="84"/>
      <c r="LYD3" s="84"/>
      <c r="LYE3" s="84"/>
      <c r="LYF3" s="84"/>
      <c r="LYG3" s="84"/>
      <c r="LYH3" s="84"/>
      <c r="LYI3" s="84"/>
      <c r="LYJ3" s="84"/>
      <c r="LYK3" s="84"/>
      <c r="LYL3" s="84"/>
      <c r="LYM3" s="84"/>
      <c r="LYN3" s="84"/>
      <c r="LYO3" s="84"/>
      <c r="LYP3" s="84"/>
      <c r="LYQ3" s="84"/>
      <c r="LYR3" s="84"/>
      <c r="LYS3" s="84"/>
      <c r="LYT3" s="84"/>
      <c r="LYU3" s="84"/>
      <c r="LYV3" s="84"/>
      <c r="LYW3" s="84"/>
      <c r="LYX3" s="84"/>
      <c r="LYY3" s="84"/>
      <c r="LYZ3" s="84"/>
      <c r="LZA3" s="84"/>
      <c r="LZB3" s="84"/>
      <c r="LZC3" s="84"/>
      <c r="LZD3" s="84"/>
      <c r="LZE3" s="84"/>
      <c r="LZF3" s="84"/>
      <c r="LZG3" s="84"/>
      <c r="LZH3" s="84"/>
      <c r="LZI3" s="84"/>
      <c r="LZJ3" s="84"/>
      <c r="LZK3" s="84"/>
      <c r="LZL3" s="84"/>
      <c r="LZM3" s="84"/>
      <c r="LZN3" s="84"/>
      <c r="LZO3" s="84"/>
      <c r="LZP3" s="84"/>
      <c r="LZQ3" s="84"/>
      <c r="LZR3" s="84"/>
      <c r="LZS3" s="84"/>
      <c r="LZT3" s="84"/>
      <c r="LZU3" s="84"/>
      <c r="LZV3" s="84"/>
      <c r="LZW3" s="84"/>
      <c r="LZX3" s="84"/>
      <c r="LZY3" s="84"/>
      <c r="LZZ3" s="84"/>
      <c r="MAA3" s="84"/>
      <c r="MAB3" s="84"/>
      <c r="MAC3" s="84"/>
      <c r="MAD3" s="84"/>
      <c r="MAE3" s="84"/>
      <c r="MAF3" s="84"/>
      <c r="MAG3" s="84"/>
      <c r="MAH3" s="84"/>
      <c r="MAI3" s="84"/>
      <c r="MAJ3" s="84"/>
      <c r="MAK3" s="84"/>
      <c r="MAL3" s="84"/>
      <c r="MAM3" s="84"/>
      <c r="MAN3" s="84"/>
      <c r="MAO3" s="84"/>
      <c r="MAP3" s="84"/>
      <c r="MAQ3" s="84"/>
      <c r="MAR3" s="84"/>
      <c r="MAS3" s="84"/>
      <c r="MAT3" s="84"/>
      <c r="MAU3" s="84"/>
      <c r="MAV3" s="84"/>
      <c r="MAW3" s="84"/>
      <c r="MAX3" s="84"/>
      <c r="MAY3" s="84"/>
      <c r="MAZ3" s="84"/>
      <c r="MBA3" s="84"/>
      <c r="MBB3" s="84"/>
      <c r="MBC3" s="84"/>
      <c r="MBD3" s="84"/>
      <c r="MBE3" s="84"/>
      <c r="MBF3" s="84"/>
      <c r="MBG3" s="84"/>
      <c r="MBH3" s="84"/>
      <c r="MBI3" s="84"/>
      <c r="MBJ3" s="84"/>
      <c r="MBK3" s="84"/>
      <c r="MBL3" s="84"/>
      <c r="MBM3" s="84"/>
      <c r="MBN3" s="84"/>
      <c r="MBO3" s="84"/>
      <c r="MBP3" s="84"/>
      <c r="MBQ3" s="84"/>
      <c r="MBR3" s="84"/>
      <c r="MBS3" s="84"/>
      <c r="MBT3" s="84"/>
      <c r="MBU3" s="84"/>
      <c r="MBV3" s="84"/>
      <c r="MBW3" s="84"/>
      <c r="MBX3" s="84"/>
      <c r="MBY3" s="84"/>
      <c r="MBZ3" s="84"/>
      <c r="MCA3" s="84"/>
      <c r="MCB3" s="84"/>
      <c r="MCC3" s="84"/>
      <c r="MCD3" s="84"/>
      <c r="MCE3" s="84"/>
      <c r="MCF3" s="84"/>
      <c r="MCG3" s="84"/>
      <c r="MCH3" s="84"/>
      <c r="MCI3" s="84"/>
      <c r="MCJ3" s="84"/>
      <c r="MCK3" s="84"/>
      <c r="MCL3" s="84"/>
      <c r="MCM3" s="84"/>
      <c r="MCN3" s="84"/>
      <c r="MCO3" s="84"/>
      <c r="MCP3" s="84"/>
      <c r="MCQ3" s="84"/>
      <c r="MCR3" s="84"/>
      <c r="MCS3" s="84"/>
      <c r="MCT3" s="84"/>
      <c r="MCU3" s="84"/>
      <c r="MCV3" s="84"/>
      <c r="MCW3" s="84"/>
      <c r="MCX3" s="84"/>
      <c r="MCY3" s="84"/>
      <c r="MCZ3" s="84"/>
      <c r="MDA3" s="84"/>
      <c r="MDB3" s="84"/>
      <c r="MDC3" s="84"/>
      <c r="MDD3" s="84"/>
      <c r="MDE3" s="84"/>
      <c r="MDF3" s="84"/>
      <c r="MDG3" s="84"/>
      <c r="MDH3" s="84"/>
      <c r="MDI3" s="84"/>
      <c r="MDJ3" s="84"/>
      <c r="MDK3" s="84"/>
      <c r="MDL3" s="84"/>
      <c r="MDM3" s="84"/>
      <c r="MDN3" s="84"/>
      <c r="MDO3" s="84"/>
      <c r="MDP3" s="84"/>
      <c r="MDQ3" s="84"/>
      <c r="MDR3" s="84"/>
      <c r="MDS3" s="84"/>
      <c r="MDT3" s="84"/>
      <c r="MDU3" s="84"/>
      <c r="MDV3" s="84"/>
      <c r="MDW3" s="84"/>
      <c r="MDX3" s="84"/>
      <c r="MDY3" s="84"/>
      <c r="MDZ3" s="84"/>
      <c r="MEA3" s="84"/>
      <c r="MEB3" s="84"/>
      <c r="MEC3" s="84"/>
      <c r="MED3" s="84"/>
      <c r="MEE3" s="84"/>
      <c r="MEF3" s="84"/>
      <c r="MEG3" s="84"/>
      <c r="MEH3" s="84"/>
      <c r="MEI3" s="84"/>
      <c r="MEJ3" s="84"/>
      <c r="MEK3" s="84"/>
      <c r="MEL3" s="84"/>
      <c r="MEM3" s="84"/>
      <c r="MEN3" s="84"/>
      <c r="MEO3" s="84"/>
      <c r="MEP3" s="84"/>
      <c r="MEQ3" s="84"/>
      <c r="MER3" s="84"/>
      <c r="MES3" s="84"/>
      <c r="MET3" s="84"/>
      <c r="MEU3" s="84"/>
      <c r="MEV3" s="84"/>
      <c r="MEW3" s="84"/>
      <c r="MEX3" s="84"/>
      <c r="MEY3" s="84"/>
      <c r="MEZ3" s="84"/>
      <c r="MFA3" s="84"/>
      <c r="MFB3" s="84"/>
      <c r="MFC3" s="84"/>
      <c r="MFD3" s="84"/>
      <c r="MFE3" s="84"/>
      <c r="MFF3" s="84"/>
      <c r="MFG3" s="84"/>
      <c r="MFH3" s="84"/>
      <c r="MFI3" s="84"/>
      <c r="MFJ3" s="84"/>
      <c r="MFK3" s="84"/>
      <c r="MFL3" s="84"/>
      <c r="MFM3" s="84"/>
      <c r="MFN3" s="84"/>
      <c r="MFO3" s="84"/>
      <c r="MFP3" s="84"/>
      <c r="MFQ3" s="84"/>
      <c r="MFR3" s="84"/>
      <c r="MFS3" s="84"/>
      <c r="MFT3" s="84"/>
      <c r="MFU3" s="84"/>
      <c r="MFV3" s="84"/>
      <c r="MFW3" s="84"/>
      <c r="MFX3" s="84"/>
      <c r="MFY3" s="84"/>
      <c r="MFZ3" s="84"/>
      <c r="MGA3" s="84"/>
      <c r="MGB3" s="84"/>
      <c r="MGC3" s="84"/>
      <c r="MGD3" s="84"/>
      <c r="MGE3" s="84"/>
      <c r="MGF3" s="84"/>
      <c r="MGG3" s="84"/>
      <c r="MGH3" s="84"/>
      <c r="MGI3" s="84"/>
      <c r="MGJ3" s="84"/>
      <c r="MGK3" s="84"/>
      <c r="MGL3" s="84"/>
      <c r="MGM3" s="84"/>
      <c r="MGN3" s="84"/>
      <c r="MGO3" s="84"/>
      <c r="MGP3" s="84"/>
      <c r="MGQ3" s="84"/>
      <c r="MGR3" s="84"/>
      <c r="MGS3" s="84"/>
      <c r="MGT3" s="84"/>
      <c r="MGU3" s="84"/>
      <c r="MGV3" s="84"/>
      <c r="MGW3" s="84"/>
      <c r="MGX3" s="84"/>
      <c r="MGY3" s="84"/>
      <c r="MGZ3" s="84"/>
      <c r="MHA3" s="84"/>
      <c r="MHB3" s="84"/>
      <c r="MHC3" s="84"/>
      <c r="MHD3" s="84"/>
      <c r="MHE3" s="84"/>
      <c r="MHF3" s="84"/>
      <c r="MHG3" s="84"/>
      <c r="MHH3" s="84"/>
      <c r="MHI3" s="84"/>
      <c r="MHJ3" s="84"/>
      <c r="MHK3" s="84"/>
      <c r="MHL3" s="84"/>
      <c r="MHM3" s="84"/>
      <c r="MHN3" s="84"/>
      <c r="MHO3" s="84"/>
      <c r="MHP3" s="84"/>
      <c r="MHQ3" s="84"/>
      <c r="MHR3" s="84"/>
      <c r="MHS3" s="84"/>
      <c r="MHT3" s="84"/>
      <c r="MHU3" s="84"/>
      <c r="MHV3" s="84"/>
      <c r="MHW3" s="84"/>
      <c r="MHX3" s="84"/>
      <c r="MHY3" s="84"/>
      <c r="MHZ3" s="84"/>
      <c r="MIA3" s="84"/>
      <c r="MIB3" s="84"/>
      <c r="MIC3" s="84"/>
      <c r="MID3" s="84"/>
      <c r="MIE3" s="84"/>
      <c r="MIF3" s="84"/>
      <c r="MIG3" s="84"/>
      <c r="MIH3" s="84"/>
      <c r="MII3" s="84"/>
      <c r="MIJ3" s="84"/>
      <c r="MIK3" s="84"/>
      <c r="MIL3" s="84"/>
      <c r="MIM3" s="84"/>
      <c r="MIN3" s="84"/>
      <c r="MIO3" s="84"/>
      <c r="MIP3" s="84"/>
      <c r="MIQ3" s="84"/>
      <c r="MIR3" s="84"/>
      <c r="MIS3" s="84"/>
      <c r="MIT3" s="84"/>
      <c r="MIU3" s="84"/>
      <c r="MIV3" s="84"/>
      <c r="MIW3" s="84"/>
      <c r="MIX3" s="84"/>
      <c r="MIY3" s="84"/>
      <c r="MIZ3" s="84"/>
      <c r="MJA3" s="84"/>
      <c r="MJB3" s="84"/>
      <c r="MJC3" s="84"/>
      <c r="MJD3" s="84"/>
      <c r="MJE3" s="84"/>
      <c r="MJF3" s="84"/>
      <c r="MJG3" s="84"/>
      <c r="MJH3" s="84"/>
      <c r="MJI3" s="84"/>
      <c r="MJJ3" s="84"/>
      <c r="MJK3" s="84"/>
      <c r="MJL3" s="84"/>
      <c r="MJM3" s="84"/>
      <c r="MJN3" s="84"/>
      <c r="MJO3" s="84"/>
      <c r="MJP3" s="84"/>
      <c r="MJQ3" s="84"/>
      <c r="MJR3" s="84"/>
      <c r="MJS3" s="84"/>
      <c r="MJT3" s="84"/>
      <c r="MJU3" s="84"/>
      <c r="MJV3" s="84"/>
      <c r="MJW3" s="84"/>
      <c r="MJX3" s="84"/>
      <c r="MJY3" s="84"/>
      <c r="MJZ3" s="84"/>
      <c r="MKA3" s="84"/>
      <c r="MKB3" s="84"/>
      <c r="MKC3" s="84"/>
      <c r="MKD3" s="84"/>
      <c r="MKE3" s="84"/>
      <c r="MKF3" s="84"/>
      <c r="MKG3" s="84"/>
      <c r="MKH3" s="84"/>
      <c r="MKI3" s="84"/>
      <c r="MKJ3" s="84"/>
      <c r="MKK3" s="84"/>
      <c r="MKL3" s="84"/>
      <c r="MKM3" s="84"/>
      <c r="MKN3" s="84"/>
      <c r="MKO3" s="84"/>
      <c r="MKP3" s="84"/>
      <c r="MKQ3" s="84"/>
      <c r="MKR3" s="84"/>
      <c r="MKS3" s="84"/>
      <c r="MKT3" s="84"/>
      <c r="MKU3" s="84"/>
      <c r="MKV3" s="84"/>
      <c r="MKW3" s="84"/>
      <c r="MKX3" s="84"/>
      <c r="MKY3" s="84"/>
      <c r="MKZ3" s="84"/>
      <c r="MLA3" s="84"/>
      <c r="MLB3" s="84"/>
      <c r="MLC3" s="84"/>
      <c r="MLD3" s="84"/>
      <c r="MLE3" s="84"/>
      <c r="MLF3" s="84"/>
      <c r="MLG3" s="84"/>
      <c r="MLH3" s="84"/>
      <c r="MLI3" s="84"/>
      <c r="MLJ3" s="84"/>
      <c r="MLK3" s="84"/>
      <c r="MLL3" s="84"/>
      <c r="MLM3" s="84"/>
      <c r="MLN3" s="84"/>
      <c r="MLO3" s="84"/>
      <c r="MLP3" s="84"/>
      <c r="MLQ3" s="84"/>
      <c r="MLR3" s="84"/>
      <c r="MLS3" s="84"/>
      <c r="MLT3" s="84"/>
      <c r="MLU3" s="84"/>
      <c r="MLV3" s="84"/>
      <c r="MLW3" s="84"/>
      <c r="MLX3" s="84"/>
      <c r="MLY3" s="84"/>
      <c r="MLZ3" s="84"/>
      <c r="MMA3" s="84"/>
      <c r="MMB3" s="84"/>
      <c r="MMC3" s="84"/>
      <c r="MMD3" s="84"/>
      <c r="MME3" s="84"/>
      <c r="MMF3" s="84"/>
      <c r="MMG3" s="84"/>
      <c r="MMH3" s="84"/>
      <c r="MMI3" s="84"/>
      <c r="MMJ3" s="84"/>
      <c r="MMK3" s="84"/>
      <c r="MML3" s="84"/>
      <c r="MMM3" s="84"/>
      <c r="MMN3" s="84"/>
      <c r="MMO3" s="84"/>
      <c r="MMP3" s="84"/>
      <c r="MMQ3" s="84"/>
      <c r="MMR3" s="84"/>
      <c r="MMS3" s="84"/>
      <c r="MMT3" s="84"/>
      <c r="MMU3" s="84"/>
      <c r="MMV3" s="84"/>
      <c r="MMW3" s="84"/>
      <c r="MMX3" s="84"/>
      <c r="MMY3" s="84"/>
      <c r="MMZ3" s="84"/>
      <c r="MNA3" s="84"/>
      <c r="MNB3" s="84"/>
      <c r="MNC3" s="84"/>
      <c r="MND3" s="84"/>
      <c r="MNE3" s="84"/>
      <c r="MNF3" s="84"/>
      <c r="MNG3" s="84"/>
      <c r="MNH3" s="84"/>
      <c r="MNI3" s="84"/>
      <c r="MNJ3" s="84"/>
      <c r="MNK3" s="84"/>
      <c r="MNL3" s="84"/>
      <c r="MNM3" s="84"/>
      <c r="MNN3" s="84"/>
      <c r="MNO3" s="84"/>
      <c r="MNP3" s="84"/>
      <c r="MNQ3" s="84"/>
      <c r="MNR3" s="84"/>
      <c r="MNS3" s="84"/>
      <c r="MNT3" s="84"/>
      <c r="MNU3" s="84"/>
      <c r="MNV3" s="84"/>
      <c r="MNW3" s="84"/>
      <c r="MNX3" s="84"/>
      <c r="MNY3" s="84"/>
      <c r="MNZ3" s="84"/>
      <c r="MOA3" s="84"/>
      <c r="MOB3" s="84"/>
      <c r="MOC3" s="84"/>
      <c r="MOD3" s="84"/>
      <c r="MOE3" s="84"/>
      <c r="MOF3" s="84"/>
      <c r="MOG3" s="84"/>
      <c r="MOH3" s="84"/>
      <c r="MOI3" s="84"/>
      <c r="MOJ3" s="84"/>
      <c r="MOK3" s="84"/>
      <c r="MOL3" s="84"/>
      <c r="MOM3" s="84"/>
      <c r="MON3" s="84"/>
      <c r="MOO3" s="84"/>
      <c r="MOP3" s="84"/>
      <c r="MOQ3" s="84"/>
      <c r="MOR3" s="84"/>
      <c r="MOS3" s="84"/>
      <c r="MOT3" s="84"/>
      <c r="MOU3" s="84"/>
      <c r="MOV3" s="84"/>
      <c r="MOW3" s="84"/>
      <c r="MOX3" s="84"/>
      <c r="MOY3" s="84"/>
      <c r="MOZ3" s="84"/>
      <c r="MPA3" s="84"/>
      <c r="MPB3" s="84"/>
      <c r="MPC3" s="84"/>
      <c r="MPD3" s="84"/>
      <c r="MPE3" s="84"/>
      <c r="MPF3" s="84"/>
      <c r="MPG3" s="84"/>
      <c r="MPH3" s="84"/>
      <c r="MPI3" s="84"/>
      <c r="MPJ3" s="84"/>
      <c r="MPK3" s="84"/>
      <c r="MPL3" s="84"/>
      <c r="MPM3" s="84"/>
      <c r="MPN3" s="84"/>
      <c r="MPO3" s="84"/>
      <c r="MPP3" s="84"/>
      <c r="MPQ3" s="84"/>
      <c r="MPR3" s="84"/>
      <c r="MPS3" s="84"/>
      <c r="MPT3" s="84"/>
      <c r="MPU3" s="84"/>
      <c r="MPV3" s="84"/>
      <c r="MPW3" s="84"/>
      <c r="MPX3" s="84"/>
      <c r="MPY3" s="84"/>
      <c r="MPZ3" s="84"/>
      <c r="MQA3" s="84"/>
      <c r="MQB3" s="84"/>
      <c r="MQC3" s="84"/>
      <c r="MQD3" s="84"/>
      <c r="MQE3" s="84"/>
      <c r="MQF3" s="84"/>
      <c r="MQG3" s="84"/>
      <c r="MQH3" s="84"/>
      <c r="MQI3" s="84"/>
      <c r="MQJ3" s="84"/>
      <c r="MQK3" s="84"/>
      <c r="MQL3" s="84"/>
      <c r="MQM3" s="84"/>
      <c r="MQN3" s="84"/>
      <c r="MQO3" s="84"/>
      <c r="MQP3" s="84"/>
      <c r="MQQ3" s="84"/>
      <c r="MQR3" s="84"/>
      <c r="MQS3" s="84"/>
      <c r="MQT3" s="84"/>
      <c r="MQU3" s="84"/>
      <c r="MQV3" s="84"/>
      <c r="MQW3" s="84"/>
      <c r="MQX3" s="84"/>
      <c r="MQY3" s="84"/>
      <c r="MQZ3" s="84"/>
      <c r="MRA3" s="84"/>
      <c r="MRB3" s="84"/>
      <c r="MRC3" s="84"/>
      <c r="MRD3" s="84"/>
      <c r="MRE3" s="84"/>
      <c r="MRF3" s="84"/>
      <c r="MRG3" s="84"/>
      <c r="MRH3" s="84"/>
      <c r="MRI3" s="84"/>
      <c r="MRJ3" s="84"/>
      <c r="MRK3" s="84"/>
      <c r="MRL3" s="84"/>
      <c r="MRM3" s="84"/>
      <c r="MRN3" s="84"/>
      <c r="MRO3" s="84"/>
      <c r="MRP3" s="84"/>
      <c r="MRQ3" s="84"/>
      <c r="MRR3" s="84"/>
      <c r="MRS3" s="84"/>
      <c r="MRT3" s="84"/>
      <c r="MRU3" s="84"/>
      <c r="MRV3" s="84"/>
      <c r="MRW3" s="84"/>
      <c r="MRX3" s="84"/>
      <c r="MRY3" s="84"/>
      <c r="MRZ3" s="84"/>
      <c r="MSA3" s="84"/>
      <c r="MSB3" s="84"/>
      <c r="MSC3" s="84"/>
      <c r="MSD3" s="84"/>
      <c r="MSE3" s="84"/>
      <c r="MSF3" s="84"/>
      <c r="MSG3" s="84"/>
      <c r="MSH3" s="84"/>
      <c r="MSI3" s="84"/>
      <c r="MSJ3" s="84"/>
      <c r="MSK3" s="84"/>
      <c r="MSL3" s="84"/>
      <c r="MSM3" s="84"/>
      <c r="MSN3" s="84"/>
      <c r="MSO3" s="84"/>
      <c r="MSP3" s="84"/>
      <c r="MSQ3" s="84"/>
      <c r="MSR3" s="84"/>
      <c r="MSS3" s="84"/>
      <c r="MST3" s="84"/>
      <c r="MSU3" s="84"/>
      <c r="MSV3" s="84"/>
      <c r="MSW3" s="84"/>
      <c r="MSX3" s="84"/>
      <c r="MSY3" s="84"/>
      <c r="MSZ3" s="84"/>
      <c r="MTA3" s="84"/>
      <c r="MTB3" s="84"/>
      <c r="MTC3" s="84"/>
      <c r="MTD3" s="84"/>
      <c r="MTE3" s="84"/>
      <c r="MTF3" s="84"/>
      <c r="MTG3" s="84"/>
      <c r="MTH3" s="84"/>
      <c r="MTI3" s="84"/>
      <c r="MTJ3" s="84"/>
      <c r="MTK3" s="84"/>
      <c r="MTL3" s="84"/>
      <c r="MTM3" s="84"/>
      <c r="MTN3" s="84"/>
      <c r="MTO3" s="84"/>
      <c r="MTP3" s="84"/>
      <c r="MTQ3" s="84"/>
      <c r="MTR3" s="84"/>
      <c r="MTS3" s="84"/>
      <c r="MTT3" s="84"/>
      <c r="MTU3" s="84"/>
      <c r="MTV3" s="84"/>
      <c r="MTW3" s="84"/>
      <c r="MTX3" s="84"/>
      <c r="MTY3" s="84"/>
      <c r="MTZ3" s="84"/>
      <c r="MUA3" s="84"/>
      <c r="MUB3" s="84"/>
      <c r="MUC3" s="84"/>
      <c r="MUD3" s="84"/>
      <c r="MUE3" s="84"/>
      <c r="MUF3" s="84"/>
      <c r="MUG3" s="84"/>
      <c r="MUH3" s="84"/>
      <c r="MUI3" s="84"/>
      <c r="MUJ3" s="84"/>
      <c r="MUK3" s="84"/>
      <c r="MUL3" s="84"/>
      <c r="MUM3" s="84"/>
      <c r="MUN3" s="84"/>
      <c r="MUO3" s="84"/>
      <c r="MUP3" s="84"/>
      <c r="MUQ3" s="84"/>
      <c r="MUR3" s="84"/>
      <c r="MUS3" s="84"/>
      <c r="MUT3" s="84"/>
      <c r="MUU3" s="84"/>
      <c r="MUV3" s="84"/>
      <c r="MUW3" s="84"/>
      <c r="MUX3" s="84"/>
      <c r="MUY3" s="84"/>
      <c r="MUZ3" s="84"/>
      <c r="MVA3" s="84"/>
      <c r="MVB3" s="84"/>
      <c r="MVC3" s="84"/>
      <c r="MVD3" s="84"/>
      <c r="MVE3" s="84"/>
      <c r="MVF3" s="84"/>
      <c r="MVG3" s="84"/>
      <c r="MVH3" s="84"/>
      <c r="MVI3" s="84"/>
      <c r="MVJ3" s="84"/>
      <c r="MVK3" s="84"/>
      <c r="MVL3" s="84"/>
      <c r="MVM3" s="84"/>
      <c r="MVN3" s="84"/>
      <c r="MVO3" s="84"/>
      <c r="MVP3" s="84"/>
      <c r="MVQ3" s="84"/>
      <c r="MVR3" s="84"/>
      <c r="MVS3" s="84"/>
      <c r="MVT3" s="84"/>
      <c r="MVU3" s="84"/>
      <c r="MVV3" s="84"/>
      <c r="MVW3" s="84"/>
      <c r="MVX3" s="84"/>
      <c r="MVY3" s="84"/>
      <c r="MVZ3" s="84"/>
      <c r="MWA3" s="84"/>
      <c r="MWB3" s="84"/>
      <c r="MWC3" s="84"/>
      <c r="MWD3" s="84"/>
      <c r="MWE3" s="84"/>
      <c r="MWF3" s="84"/>
      <c r="MWG3" s="84"/>
      <c r="MWH3" s="84"/>
      <c r="MWI3" s="84"/>
      <c r="MWJ3" s="84"/>
      <c r="MWK3" s="84"/>
      <c r="MWL3" s="84"/>
      <c r="MWM3" s="84"/>
      <c r="MWN3" s="84"/>
      <c r="MWO3" s="84"/>
      <c r="MWP3" s="84"/>
      <c r="MWQ3" s="84"/>
      <c r="MWR3" s="84"/>
      <c r="MWS3" s="84"/>
      <c r="MWT3" s="84"/>
      <c r="MWU3" s="84"/>
      <c r="MWV3" s="84"/>
      <c r="MWW3" s="84"/>
      <c r="MWX3" s="84"/>
      <c r="MWY3" s="84"/>
      <c r="MWZ3" s="84"/>
      <c r="MXA3" s="84"/>
      <c r="MXB3" s="84"/>
      <c r="MXC3" s="84"/>
      <c r="MXD3" s="84"/>
      <c r="MXE3" s="84"/>
      <c r="MXF3" s="84"/>
      <c r="MXG3" s="84"/>
      <c r="MXH3" s="84"/>
      <c r="MXI3" s="84"/>
      <c r="MXJ3" s="84"/>
      <c r="MXK3" s="84"/>
      <c r="MXL3" s="84"/>
      <c r="MXM3" s="84"/>
      <c r="MXN3" s="84"/>
      <c r="MXO3" s="84"/>
      <c r="MXP3" s="84"/>
      <c r="MXQ3" s="84"/>
      <c r="MXR3" s="84"/>
      <c r="MXS3" s="84"/>
      <c r="MXT3" s="84"/>
      <c r="MXU3" s="84"/>
      <c r="MXV3" s="84"/>
      <c r="MXW3" s="84"/>
      <c r="MXX3" s="84"/>
      <c r="MXY3" s="84"/>
      <c r="MXZ3" s="84"/>
      <c r="MYA3" s="84"/>
      <c r="MYB3" s="84"/>
      <c r="MYC3" s="84"/>
      <c r="MYD3" s="84"/>
      <c r="MYE3" s="84"/>
      <c r="MYF3" s="84"/>
      <c r="MYG3" s="84"/>
      <c r="MYH3" s="84"/>
      <c r="MYI3" s="84"/>
      <c r="MYJ3" s="84"/>
      <c r="MYK3" s="84"/>
      <c r="MYL3" s="84"/>
      <c r="MYM3" s="84"/>
      <c r="MYN3" s="84"/>
      <c r="MYO3" s="84"/>
      <c r="MYP3" s="84"/>
      <c r="MYQ3" s="84"/>
      <c r="MYR3" s="84"/>
      <c r="MYS3" s="84"/>
      <c r="MYT3" s="84"/>
      <c r="MYU3" s="84"/>
      <c r="MYV3" s="84"/>
      <c r="MYW3" s="84"/>
      <c r="MYX3" s="84"/>
      <c r="MYY3" s="84"/>
      <c r="MYZ3" s="84"/>
      <c r="MZA3" s="84"/>
      <c r="MZB3" s="84"/>
      <c r="MZC3" s="84"/>
      <c r="MZD3" s="84"/>
      <c r="MZE3" s="84"/>
      <c r="MZF3" s="84"/>
      <c r="MZG3" s="84"/>
      <c r="MZH3" s="84"/>
      <c r="MZI3" s="84"/>
      <c r="MZJ3" s="84"/>
      <c r="MZK3" s="84"/>
      <c r="MZL3" s="84"/>
      <c r="MZM3" s="84"/>
      <c r="MZN3" s="84"/>
      <c r="MZO3" s="84"/>
      <c r="MZP3" s="84"/>
      <c r="MZQ3" s="84"/>
      <c r="MZR3" s="84"/>
      <c r="MZS3" s="84"/>
      <c r="MZT3" s="84"/>
      <c r="MZU3" s="84"/>
      <c r="MZV3" s="84"/>
      <c r="MZW3" s="84"/>
      <c r="MZX3" s="84"/>
      <c r="MZY3" s="84"/>
      <c r="MZZ3" s="84"/>
      <c r="NAA3" s="84"/>
      <c r="NAB3" s="84"/>
      <c r="NAC3" s="84"/>
      <c r="NAD3" s="84"/>
      <c r="NAE3" s="84"/>
      <c r="NAF3" s="84"/>
      <c r="NAG3" s="84"/>
      <c r="NAH3" s="84"/>
      <c r="NAI3" s="84"/>
      <c r="NAJ3" s="84"/>
      <c r="NAK3" s="84"/>
      <c r="NAL3" s="84"/>
      <c r="NAM3" s="84"/>
      <c r="NAN3" s="84"/>
      <c r="NAO3" s="84"/>
      <c r="NAP3" s="84"/>
      <c r="NAQ3" s="84"/>
      <c r="NAR3" s="84"/>
      <c r="NAS3" s="84"/>
      <c r="NAT3" s="84"/>
      <c r="NAU3" s="84"/>
      <c r="NAV3" s="84"/>
      <c r="NAW3" s="84"/>
      <c r="NAX3" s="84"/>
      <c r="NAY3" s="84"/>
      <c r="NAZ3" s="84"/>
      <c r="NBA3" s="84"/>
      <c r="NBB3" s="84"/>
      <c r="NBC3" s="84"/>
      <c r="NBD3" s="84"/>
      <c r="NBE3" s="84"/>
      <c r="NBF3" s="84"/>
      <c r="NBG3" s="84"/>
      <c r="NBH3" s="84"/>
      <c r="NBI3" s="84"/>
      <c r="NBJ3" s="84"/>
      <c r="NBK3" s="84"/>
      <c r="NBL3" s="84"/>
      <c r="NBM3" s="84"/>
      <c r="NBN3" s="84"/>
      <c r="NBO3" s="84"/>
      <c r="NBP3" s="84"/>
      <c r="NBQ3" s="84"/>
      <c r="NBR3" s="84"/>
      <c r="NBS3" s="84"/>
      <c r="NBT3" s="84"/>
      <c r="NBU3" s="84"/>
      <c r="NBV3" s="84"/>
      <c r="NBW3" s="84"/>
      <c r="NBX3" s="84"/>
      <c r="NBY3" s="84"/>
      <c r="NBZ3" s="84"/>
      <c r="NCA3" s="84"/>
      <c r="NCB3" s="84"/>
      <c r="NCC3" s="84"/>
      <c r="NCD3" s="84"/>
      <c r="NCE3" s="84"/>
      <c r="NCF3" s="84"/>
      <c r="NCG3" s="84"/>
      <c r="NCH3" s="84"/>
      <c r="NCI3" s="84"/>
      <c r="NCJ3" s="84"/>
      <c r="NCK3" s="84"/>
      <c r="NCL3" s="84"/>
      <c r="NCM3" s="84"/>
      <c r="NCN3" s="84"/>
      <c r="NCO3" s="84"/>
      <c r="NCP3" s="84"/>
      <c r="NCQ3" s="84"/>
      <c r="NCR3" s="84"/>
      <c r="NCS3" s="84"/>
      <c r="NCT3" s="84"/>
      <c r="NCU3" s="84"/>
      <c r="NCV3" s="84"/>
      <c r="NCW3" s="84"/>
      <c r="NCX3" s="84"/>
      <c r="NCY3" s="84"/>
      <c r="NCZ3" s="84"/>
      <c r="NDA3" s="84"/>
      <c r="NDB3" s="84"/>
      <c r="NDC3" s="84"/>
      <c r="NDD3" s="84"/>
      <c r="NDE3" s="84"/>
      <c r="NDF3" s="84"/>
      <c r="NDG3" s="84"/>
      <c r="NDH3" s="84"/>
      <c r="NDI3" s="84"/>
      <c r="NDJ3" s="84"/>
      <c r="NDK3" s="84"/>
      <c r="NDL3" s="84"/>
      <c r="NDM3" s="84"/>
      <c r="NDN3" s="84"/>
      <c r="NDO3" s="84"/>
      <c r="NDP3" s="84"/>
      <c r="NDQ3" s="84"/>
      <c r="NDR3" s="84"/>
      <c r="NDS3" s="84"/>
      <c r="NDT3" s="84"/>
      <c r="NDU3" s="84"/>
      <c r="NDV3" s="84"/>
      <c r="NDW3" s="84"/>
      <c r="NDX3" s="84"/>
      <c r="NDY3" s="84"/>
      <c r="NDZ3" s="84"/>
      <c r="NEA3" s="84"/>
      <c r="NEB3" s="84"/>
      <c r="NEC3" s="84"/>
      <c r="NED3" s="84"/>
      <c r="NEE3" s="84"/>
      <c r="NEF3" s="84"/>
      <c r="NEG3" s="84"/>
      <c r="NEH3" s="84"/>
      <c r="NEI3" s="84"/>
      <c r="NEJ3" s="84"/>
      <c r="NEK3" s="84"/>
      <c r="NEL3" s="84"/>
      <c r="NEM3" s="84"/>
      <c r="NEN3" s="84"/>
      <c r="NEO3" s="84"/>
      <c r="NEP3" s="84"/>
      <c r="NEQ3" s="84"/>
      <c r="NER3" s="84"/>
      <c r="NES3" s="84"/>
      <c r="NET3" s="84"/>
      <c r="NEU3" s="84"/>
      <c r="NEV3" s="84"/>
      <c r="NEW3" s="84"/>
      <c r="NEX3" s="84"/>
      <c r="NEY3" s="84"/>
      <c r="NEZ3" s="84"/>
      <c r="NFA3" s="84"/>
      <c r="NFB3" s="84"/>
      <c r="NFC3" s="84"/>
      <c r="NFD3" s="84"/>
      <c r="NFE3" s="84"/>
      <c r="NFF3" s="84"/>
      <c r="NFG3" s="84"/>
      <c r="NFH3" s="84"/>
      <c r="NFI3" s="84"/>
      <c r="NFJ3" s="84"/>
      <c r="NFK3" s="84"/>
      <c r="NFL3" s="84"/>
      <c r="NFM3" s="84"/>
      <c r="NFN3" s="84"/>
      <c r="NFO3" s="84"/>
      <c r="NFP3" s="84"/>
      <c r="NFQ3" s="84"/>
      <c r="NFR3" s="84"/>
      <c r="NFS3" s="84"/>
      <c r="NFT3" s="84"/>
      <c r="NFU3" s="84"/>
      <c r="NFV3" s="84"/>
      <c r="NFW3" s="84"/>
      <c r="NFX3" s="84"/>
      <c r="NFY3" s="84"/>
      <c r="NFZ3" s="84"/>
      <c r="NGA3" s="84"/>
      <c r="NGB3" s="84"/>
      <c r="NGC3" s="84"/>
      <c r="NGD3" s="84"/>
      <c r="NGE3" s="84"/>
      <c r="NGF3" s="84"/>
      <c r="NGG3" s="84"/>
      <c r="NGH3" s="84"/>
      <c r="NGI3" s="84"/>
      <c r="NGJ3" s="84"/>
      <c r="NGK3" s="84"/>
      <c r="NGL3" s="84"/>
      <c r="NGM3" s="84"/>
      <c r="NGN3" s="84"/>
      <c r="NGO3" s="84"/>
      <c r="NGP3" s="84"/>
      <c r="NGQ3" s="84"/>
      <c r="NGR3" s="84"/>
      <c r="NGS3" s="84"/>
      <c r="NGT3" s="84"/>
      <c r="NGU3" s="84"/>
      <c r="NGV3" s="84"/>
      <c r="NGW3" s="84"/>
      <c r="NGX3" s="84"/>
      <c r="NGY3" s="84"/>
      <c r="NGZ3" s="84"/>
      <c r="NHA3" s="84"/>
      <c r="NHB3" s="84"/>
      <c r="NHC3" s="84"/>
      <c r="NHD3" s="84"/>
      <c r="NHE3" s="84"/>
      <c r="NHF3" s="84"/>
      <c r="NHG3" s="84"/>
      <c r="NHH3" s="84"/>
      <c r="NHI3" s="84"/>
      <c r="NHJ3" s="84"/>
      <c r="NHK3" s="84"/>
      <c r="NHL3" s="84"/>
      <c r="NHM3" s="84"/>
      <c r="NHN3" s="84"/>
      <c r="NHO3" s="84"/>
      <c r="NHP3" s="84"/>
      <c r="NHQ3" s="84"/>
      <c r="NHR3" s="84"/>
      <c r="NHS3" s="84"/>
      <c r="NHT3" s="84"/>
      <c r="NHU3" s="84"/>
      <c r="NHV3" s="84"/>
      <c r="NHW3" s="84"/>
      <c r="NHX3" s="84"/>
      <c r="NHY3" s="84"/>
      <c r="NHZ3" s="84"/>
      <c r="NIA3" s="84"/>
      <c r="NIB3" s="84"/>
      <c r="NIC3" s="84"/>
      <c r="NID3" s="84"/>
      <c r="NIE3" s="84"/>
      <c r="NIF3" s="84"/>
      <c r="NIG3" s="84"/>
      <c r="NIH3" s="84"/>
      <c r="NII3" s="84"/>
      <c r="NIJ3" s="84"/>
      <c r="NIK3" s="84"/>
      <c r="NIL3" s="84"/>
      <c r="NIM3" s="84"/>
      <c r="NIN3" s="84"/>
      <c r="NIO3" s="84"/>
      <c r="NIP3" s="84"/>
      <c r="NIQ3" s="84"/>
      <c r="NIR3" s="84"/>
      <c r="NIS3" s="84"/>
      <c r="NIT3" s="84"/>
      <c r="NIU3" s="84"/>
      <c r="NIV3" s="84"/>
      <c r="NIW3" s="84"/>
      <c r="NIX3" s="84"/>
      <c r="NIY3" s="84"/>
      <c r="NIZ3" s="84"/>
      <c r="NJA3" s="84"/>
      <c r="NJB3" s="84"/>
      <c r="NJC3" s="84"/>
      <c r="NJD3" s="84"/>
      <c r="NJE3" s="84"/>
      <c r="NJF3" s="84"/>
      <c r="NJG3" s="84"/>
      <c r="NJH3" s="84"/>
      <c r="NJI3" s="84"/>
      <c r="NJJ3" s="84"/>
      <c r="NJK3" s="84"/>
      <c r="NJL3" s="84"/>
      <c r="NJM3" s="84"/>
      <c r="NJN3" s="84"/>
      <c r="NJO3" s="84"/>
      <c r="NJP3" s="84"/>
      <c r="NJQ3" s="84"/>
      <c r="NJR3" s="84"/>
      <c r="NJS3" s="84"/>
      <c r="NJT3" s="84"/>
      <c r="NJU3" s="84"/>
      <c r="NJV3" s="84"/>
      <c r="NJW3" s="84"/>
      <c r="NJX3" s="84"/>
      <c r="NJY3" s="84"/>
      <c r="NJZ3" s="84"/>
      <c r="NKA3" s="84"/>
      <c r="NKB3" s="84"/>
      <c r="NKC3" s="84"/>
      <c r="NKD3" s="84"/>
      <c r="NKE3" s="84"/>
      <c r="NKF3" s="84"/>
      <c r="NKG3" s="84"/>
      <c r="NKH3" s="84"/>
      <c r="NKI3" s="84"/>
      <c r="NKJ3" s="84"/>
      <c r="NKK3" s="84"/>
      <c r="NKL3" s="84"/>
      <c r="NKM3" s="84"/>
      <c r="NKN3" s="84"/>
      <c r="NKO3" s="84"/>
      <c r="NKP3" s="84"/>
      <c r="NKQ3" s="84"/>
      <c r="NKR3" s="84"/>
      <c r="NKS3" s="84"/>
      <c r="NKT3" s="84"/>
      <c r="NKU3" s="84"/>
      <c r="NKV3" s="84"/>
      <c r="NKW3" s="84"/>
      <c r="NKX3" s="84"/>
      <c r="NKY3" s="84"/>
      <c r="NKZ3" s="84"/>
      <c r="NLA3" s="84"/>
      <c r="NLB3" s="84"/>
      <c r="NLC3" s="84"/>
      <c r="NLD3" s="84"/>
      <c r="NLE3" s="84"/>
      <c r="NLF3" s="84"/>
      <c r="NLG3" s="84"/>
      <c r="NLH3" s="84"/>
      <c r="NLI3" s="84"/>
      <c r="NLJ3" s="84"/>
      <c r="NLK3" s="84"/>
      <c r="NLL3" s="84"/>
      <c r="NLM3" s="84"/>
      <c r="NLN3" s="84"/>
      <c r="NLO3" s="84"/>
      <c r="NLP3" s="84"/>
      <c r="NLQ3" s="84"/>
      <c r="NLR3" s="84"/>
      <c r="NLS3" s="84"/>
      <c r="NLT3" s="84"/>
      <c r="NLU3" s="84"/>
      <c r="NLV3" s="84"/>
      <c r="NLW3" s="84"/>
      <c r="NLX3" s="84"/>
      <c r="NLY3" s="84"/>
      <c r="NLZ3" s="84"/>
      <c r="NMA3" s="84"/>
      <c r="NMB3" s="84"/>
      <c r="NMC3" s="84"/>
      <c r="NMD3" s="84"/>
      <c r="NME3" s="84"/>
      <c r="NMF3" s="84"/>
      <c r="NMG3" s="84"/>
      <c r="NMH3" s="84"/>
      <c r="NMI3" s="84"/>
      <c r="NMJ3" s="84"/>
      <c r="NMK3" s="84"/>
      <c r="NML3" s="84"/>
      <c r="NMM3" s="84"/>
      <c r="NMN3" s="84"/>
      <c r="NMO3" s="84"/>
      <c r="NMP3" s="84"/>
      <c r="NMQ3" s="84"/>
      <c r="NMR3" s="84"/>
      <c r="NMS3" s="84"/>
      <c r="NMT3" s="84"/>
      <c r="NMU3" s="84"/>
      <c r="NMV3" s="84"/>
      <c r="NMW3" s="84"/>
      <c r="NMX3" s="84"/>
      <c r="NMY3" s="84"/>
      <c r="NMZ3" s="84"/>
      <c r="NNA3" s="84"/>
      <c r="NNB3" s="84"/>
      <c r="NNC3" s="84"/>
      <c r="NND3" s="84"/>
      <c r="NNE3" s="84"/>
      <c r="NNF3" s="84"/>
      <c r="NNG3" s="84"/>
      <c r="NNH3" s="84"/>
      <c r="NNI3" s="84"/>
      <c r="NNJ3" s="84"/>
      <c r="NNK3" s="84"/>
      <c r="NNL3" s="84"/>
      <c r="NNM3" s="84"/>
      <c r="NNN3" s="84"/>
      <c r="NNO3" s="84"/>
      <c r="NNP3" s="84"/>
      <c r="NNQ3" s="84"/>
      <c r="NNR3" s="84"/>
      <c r="NNS3" s="84"/>
      <c r="NNT3" s="84"/>
      <c r="NNU3" s="84"/>
      <c r="NNV3" s="84"/>
      <c r="NNW3" s="84"/>
      <c r="NNX3" s="84"/>
      <c r="NNY3" s="84"/>
      <c r="NNZ3" s="84"/>
      <c r="NOA3" s="84"/>
      <c r="NOB3" s="84"/>
      <c r="NOC3" s="84"/>
      <c r="NOD3" s="84"/>
      <c r="NOE3" s="84"/>
      <c r="NOF3" s="84"/>
      <c r="NOG3" s="84"/>
      <c r="NOH3" s="84"/>
      <c r="NOI3" s="84"/>
      <c r="NOJ3" s="84"/>
      <c r="NOK3" s="84"/>
      <c r="NOL3" s="84"/>
      <c r="NOM3" s="84"/>
      <c r="NON3" s="84"/>
      <c r="NOO3" s="84"/>
      <c r="NOP3" s="84"/>
      <c r="NOQ3" s="84"/>
      <c r="NOR3" s="84"/>
      <c r="NOS3" s="84"/>
      <c r="NOT3" s="84"/>
      <c r="NOU3" s="84"/>
      <c r="NOV3" s="84"/>
      <c r="NOW3" s="84"/>
      <c r="NOX3" s="84"/>
      <c r="NOY3" s="84"/>
      <c r="NOZ3" s="84"/>
      <c r="NPA3" s="84"/>
      <c r="NPB3" s="84"/>
      <c r="NPC3" s="84"/>
      <c r="NPD3" s="84"/>
      <c r="NPE3" s="84"/>
      <c r="NPF3" s="84"/>
      <c r="NPG3" s="84"/>
      <c r="NPH3" s="84"/>
      <c r="NPI3" s="84"/>
      <c r="NPJ3" s="84"/>
      <c r="NPK3" s="84"/>
      <c r="NPL3" s="84"/>
      <c r="NPM3" s="84"/>
      <c r="NPN3" s="84"/>
      <c r="NPO3" s="84"/>
      <c r="NPP3" s="84"/>
      <c r="NPQ3" s="84"/>
      <c r="NPR3" s="84"/>
      <c r="NPS3" s="84"/>
      <c r="NPT3" s="84"/>
      <c r="NPU3" s="84"/>
      <c r="NPV3" s="84"/>
      <c r="NPW3" s="84"/>
      <c r="NPX3" s="84"/>
      <c r="NPY3" s="84"/>
      <c r="NPZ3" s="84"/>
      <c r="NQA3" s="84"/>
      <c r="NQB3" s="84"/>
      <c r="NQC3" s="84"/>
      <c r="NQD3" s="84"/>
      <c r="NQE3" s="84"/>
      <c r="NQF3" s="84"/>
      <c r="NQG3" s="84"/>
      <c r="NQH3" s="84"/>
      <c r="NQI3" s="84"/>
      <c r="NQJ3" s="84"/>
      <c r="NQK3" s="84"/>
      <c r="NQL3" s="84"/>
      <c r="NQM3" s="84"/>
      <c r="NQN3" s="84"/>
      <c r="NQO3" s="84"/>
      <c r="NQP3" s="84"/>
      <c r="NQQ3" s="84"/>
      <c r="NQR3" s="84"/>
      <c r="NQS3" s="84"/>
      <c r="NQT3" s="84"/>
      <c r="NQU3" s="84"/>
      <c r="NQV3" s="84"/>
      <c r="NQW3" s="84"/>
      <c r="NQX3" s="84"/>
      <c r="NQY3" s="84"/>
      <c r="NQZ3" s="84"/>
      <c r="NRA3" s="84"/>
      <c r="NRB3" s="84"/>
      <c r="NRC3" s="84"/>
      <c r="NRD3" s="84"/>
      <c r="NRE3" s="84"/>
      <c r="NRF3" s="84"/>
      <c r="NRG3" s="84"/>
      <c r="NRH3" s="84"/>
      <c r="NRI3" s="84"/>
      <c r="NRJ3" s="84"/>
      <c r="NRK3" s="84"/>
      <c r="NRL3" s="84"/>
      <c r="NRM3" s="84"/>
      <c r="NRN3" s="84"/>
      <c r="NRO3" s="84"/>
      <c r="NRP3" s="84"/>
      <c r="NRQ3" s="84"/>
      <c r="NRR3" s="84"/>
      <c r="NRS3" s="84"/>
      <c r="NRT3" s="84"/>
      <c r="NRU3" s="84"/>
      <c r="NRV3" s="84"/>
      <c r="NRW3" s="84"/>
      <c r="NRX3" s="84"/>
      <c r="NRY3" s="84"/>
      <c r="NRZ3" s="84"/>
      <c r="NSA3" s="84"/>
      <c r="NSB3" s="84"/>
      <c r="NSC3" s="84"/>
      <c r="NSD3" s="84"/>
      <c r="NSE3" s="84"/>
      <c r="NSF3" s="84"/>
      <c r="NSG3" s="84"/>
      <c r="NSH3" s="84"/>
      <c r="NSI3" s="84"/>
      <c r="NSJ3" s="84"/>
      <c r="NSK3" s="84"/>
      <c r="NSL3" s="84"/>
      <c r="NSM3" s="84"/>
      <c r="NSN3" s="84"/>
      <c r="NSO3" s="84"/>
      <c r="NSP3" s="84"/>
      <c r="NSQ3" s="84"/>
      <c r="NSR3" s="84"/>
      <c r="NSS3" s="84"/>
      <c r="NST3" s="84"/>
      <c r="NSU3" s="84"/>
      <c r="NSV3" s="84"/>
      <c r="NSW3" s="84"/>
      <c r="NSX3" s="84"/>
      <c r="NSY3" s="84"/>
      <c r="NSZ3" s="84"/>
      <c r="NTA3" s="84"/>
      <c r="NTB3" s="84"/>
      <c r="NTC3" s="84"/>
      <c r="NTD3" s="84"/>
      <c r="NTE3" s="84"/>
      <c r="NTF3" s="84"/>
      <c r="NTG3" s="84"/>
      <c r="NTH3" s="84"/>
      <c r="NTI3" s="84"/>
      <c r="NTJ3" s="84"/>
      <c r="NTK3" s="84"/>
      <c r="NTL3" s="84"/>
      <c r="NTM3" s="84"/>
      <c r="NTN3" s="84"/>
      <c r="NTO3" s="84"/>
      <c r="NTP3" s="84"/>
      <c r="NTQ3" s="84"/>
      <c r="NTR3" s="84"/>
      <c r="NTS3" s="84"/>
      <c r="NTT3" s="84"/>
      <c r="NTU3" s="84"/>
      <c r="NTV3" s="84"/>
      <c r="NTW3" s="84"/>
      <c r="NTX3" s="84"/>
      <c r="NTY3" s="84"/>
      <c r="NTZ3" s="84"/>
      <c r="NUA3" s="84"/>
      <c r="NUB3" s="84"/>
      <c r="NUC3" s="84"/>
      <c r="NUD3" s="84"/>
      <c r="NUE3" s="84"/>
      <c r="NUF3" s="84"/>
      <c r="NUG3" s="84"/>
      <c r="NUH3" s="84"/>
      <c r="NUI3" s="84"/>
      <c r="NUJ3" s="84"/>
      <c r="NUK3" s="84"/>
      <c r="NUL3" s="84"/>
      <c r="NUM3" s="84"/>
      <c r="NUN3" s="84"/>
      <c r="NUO3" s="84"/>
      <c r="NUP3" s="84"/>
      <c r="NUQ3" s="84"/>
      <c r="NUR3" s="84"/>
      <c r="NUS3" s="84"/>
      <c r="NUT3" s="84"/>
      <c r="NUU3" s="84"/>
      <c r="NUV3" s="84"/>
      <c r="NUW3" s="84"/>
      <c r="NUX3" s="84"/>
      <c r="NUY3" s="84"/>
      <c r="NUZ3" s="84"/>
      <c r="NVA3" s="84"/>
      <c r="NVB3" s="84"/>
      <c r="NVC3" s="84"/>
      <c r="NVD3" s="84"/>
      <c r="NVE3" s="84"/>
      <c r="NVF3" s="84"/>
      <c r="NVG3" s="84"/>
      <c r="NVH3" s="84"/>
      <c r="NVI3" s="84"/>
      <c r="NVJ3" s="84"/>
      <c r="NVK3" s="84"/>
      <c r="NVL3" s="84"/>
      <c r="NVM3" s="84"/>
      <c r="NVN3" s="84"/>
      <c r="NVO3" s="84"/>
      <c r="NVP3" s="84"/>
      <c r="NVQ3" s="84"/>
      <c r="NVR3" s="84"/>
      <c r="NVS3" s="84"/>
      <c r="NVT3" s="84"/>
      <c r="NVU3" s="84"/>
      <c r="NVV3" s="84"/>
      <c r="NVW3" s="84"/>
      <c r="NVX3" s="84"/>
      <c r="NVY3" s="84"/>
      <c r="NVZ3" s="84"/>
      <c r="NWA3" s="84"/>
      <c r="NWB3" s="84"/>
      <c r="NWC3" s="84"/>
      <c r="NWD3" s="84"/>
      <c r="NWE3" s="84"/>
      <c r="NWF3" s="84"/>
      <c r="NWG3" s="84"/>
      <c r="NWH3" s="84"/>
      <c r="NWI3" s="84"/>
      <c r="NWJ3" s="84"/>
      <c r="NWK3" s="84"/>
      <c r="NWL3" s="84"/>
      <c r="NWM3" s="84"/>
      <c r="NWN3" s="84"/>
      <c r="NWO3" s="84"/>
      <c r="NWP3" s="84"/>
      <c r="NWQ3" s="84"/>
      <c r="NWR3" s="84"/>
      <c r="NWS3" s="84"/>
      <c r="NWT3" s="84"/>
      <c r="NWU3" s="84"/>
      <c r="NWV3" s="84"/>
      <c r="NWW3" s="84"/>
      <c r="NWX3" s="84"/>
      <c r="NWY3" s="84"/>
      <c r="NWZ3" s="84"/>
      <c r="NXA3" s="84"/>
      <c r="NXB3" s="84"/>
      <c r="NXC3" s="84"/>
      <c r="NXD3" s="84"/>
      <c r="NXE3" s="84"/>
      <c r="NXF3" s="84"/>
      <c r="NXG3" s="84"/>
      <c r="NXH3" s="84"/>
      <c r="NXI3" s="84"/>
      <c r="NXJ3" s="84"/>
      <c r="NXK3" s="84"/>
      <c r="NXL3" s="84"/>
      <c r="NXM3" s="84"/>
      <c r="NXN3" s="84"/>
      <c r="NXO3" s="84"/>
      <c r="NXP3" s="84"/>
      <c r="NXQ3" s="84"/>
      <c r="NXR3" s="84"/>
      <c r="NXS3" s="84"/>
      <c r="NXT3" s="84"/>
      <c r="NXU3" s="84"/>
      <c r="NXV3" s="84"/>
      <c r="NXW3" s="84"/>
      <c r="NXX3" s="84"/>
      <c r="NXY3" s="84"/>
      <c r="NXZ3" s="84"/>
      <c r="NYA3" s="84"/>
      <c r="NYB3" s="84"/>
      <c r="NYC3" s="84"/>
      <c r="NYD3" s="84"/>
      <c r="NYE3" s="84"/>
      <c r="NYF3" s="84"/>
      <c r="NYG3" s="84"/>
      <c r="NYH3" s="84"/>
      <c r="NYI3" s="84"/>
      <c r="NYJ3" s="84"/>
      <c r="NYK3" s="84"/>
      <c r="NYL3" s="84"/>
      <c r="NYM3" s="84"/>
      <c r="NYN3" s="84"/>
      <c r="NYO3" s="84"/>
      <c r="NYP3" s="84"/>
      <c r="NYQ3" s="84"/>
      <c r="NYR3" s="84"/>
      <c r="NYS3" s="84"/>
      <c r="NYT3" s="84"/>
      <c r="NYU3" s="84"/>
      <c r="NYV3" s="84"/>
      <c r="NYW3" s="84"/>
      <c r="NYX3" s="84"/>
      <c r="NYY3" s="84"/>
      <c r="NYZ3" s="84"/>
      <c r="NZA3" s="84"/>
      <c r="NZB3" s="84"/>
      <c r="NZC3" s="84"/>
      <c r="NZD3" s="84"/>
      <c r="NZE3" s="84"/>
      <c r="NZF3" s="84"/>
      <c r="NZG3" s="84"/>
      <c r="NZH3" s="84"/>
      <c r="NZI3" s="84"/>
      <c r="NZJ3" s="84"/>
      <c r="NZK3" s="84"/>
      <c r="NZL3" s="84"/>
      <c r="NZM3" s="84"/>
      <c r="NZN3" s="84"/>
      <c r="NZO3" s="84"/>
      <c r="NZP3" s="84"/>
      <c r="NZQ3" s="84"/>
      <c r="NZR3" s="84"/>
      <c r="NZS3" s="84"/>
      <c r="NZT3" s="84"/>
      <c r="NZU3" s="84"/>
      <c r="NZV3" s="84"/>
      <c r="NZW3" s="84"/>
      <c r="NZX3" s="84"/>
      <c r="NZY3" s="84"/>
      <c r="NZZ3" s="84"/>
      <c r="OAA3" s="84"/>
      <c r="OAB3" s="84"/>
      <c r="OAC3" s="84"/>
      <c r="OAD3" s="84"/>
      <c r="OAE3" s="84"/>
      <c r="OAF3" s="84"/>
      <c r="OAG3" s="84"/>
      <c r="OAH3" s="84"/>
      <c r="OAI3" s="84"/>
      <c r="OAJ3" s="84"/>
      <c r="OAK3" s="84"/>
      <c r="OAL3" s="84"/>
      <c r="OAM3" s="84"/>
      <c r="OAN3" s="84"/>
      <c r="OAO3" s="84"/>
      <c r="OAP3" s="84"/>
      <c r="OAQ3" s="84"/>
      <c r="OAR3" s="84"/>
      <c r="OAS3" s="84"/>
      <c r="OAT3" s="84"/>
      <c r="OAU3" s="84"/>
      <c r="OAV3" s="84"/>
      <c r="OAW3" s="84"/>
      <c r="OAX3" s="84"/>
      <c r="OAY3" s="84"/>
      <c r="OAZ3" s="84"/>
      <c r="OBA3" s="84"/>
      <c r="OBB3" s="84"/>
      <c r="OBC3" s="84"/>
      <c r="OBD3" s="84"/>
      <c r="OBE3" s="84"/>
      <c r="OBF3" s="84"/>
      <c r="OBG3" s="84"/>
      <c r="OBH3" s="84"/>
      <c r="OBI3" s="84"/>
      <c r="OBJ3" s="84"/>
      <c r="OBK3" s="84"/>
      <c r="OBL3" s="84"/>
      <c r="OBM3" s="84"/>
      <c r="OBN3" s="84"/>
      <c r="OBO3" s="84"/>
      <c r="OBP3" s="84"/>
      <c r="OBQ3" s="84"/>
      <c r="OBR3" s="84"/>
      <c r="OBS3" s="84"/>
      <c r="OBT3" s="84"/>
      <c r="OBU3" s="84"/>
      <c r="OBV3" s="84"/>
      <c r="OBW3" s="84"/>
      <c r="OBX3" s="84"/>
      <c r="OBY3" s="84"/>
      <c r="OBZ3" s="84"/>
      <c r="OCA3" s="84"/>
      <c r="OCB3" s="84"/>
      <c r="OCC3" s="84"/>
      <c r="OCD3" s="84"/>
      <c r="OCE3" s="84"/>
      <c r="OCF3" s="84"/>
      <c r="OCG3" s="84"/>
      <c r="OCH3" s="84"/>
      <c r="OCI3" s="84"/>
      <c r="OCJ3" s="84"/>
      <c r="OCK3" s="84"/>
      <c r="OCL3" s="84"/>
      <c r="OCM3" s="84"/>
      <c r="OCN3" s="84"/>
      <c r="OCO3" s="84"/>
      <c r="OCP3" s="84"/>
      <c r="OCQ3" s="84"/>
      <c r="OCR3" s="84"/>
      <c r="OCS3" s="84"/>
      <c r="OCT3" s="84"/>
      <c r="OCU3" s="84"/>
      <c r="OCV3" s="84"/>
      <c r="OCW3" s="84"/>
      <c r="OCX3" s="84"/>
      <c r="OCY3" s="84"/>
      <c r="OCZ3" s="84"/>
      <c r="ODA3" s="84"/>
      <c r="ODB3" s="84"/>
      <c r="ODC3" s="84"/>
      <c r="ODD3" s="84"/>
      <c r="ODE3" s="84"/>
      <c r="ODF3" s="84"/>
      <c r="ODG3" s="84"/>
      <c r="ODH3" s="84"/>
      <c r="ODI3" s="84"/>
      <c r="ODJ3" s="84"/>
      <c r="ODK3" s="84"/>
      <c r="ODL3" s="84"/>
      <c r="ODM3" s="84"/>
      <c r="ODN3" s="84"/>
      <c r="ODO3" s="84"/>
      <c r="ODP3" s="84"/>
      <c r="ODQ3" s="84"/>
      <c r="ODR3" s="84"/>
      <c r="ODS3" s="84"/>
      <c r="ODT3" s="84"/>
      <c r="ODU3" s="84"/>
      <c r="ODV3" s="84"/>
      <c r="ODW3" s="84"/>
      <c r="ODX3" s="84"/>
      <c r="ODY3" s="84"/>
      <c r="ODZ3" s="84"/>
      <c r="OEA3" s="84"/>
      <c r="OEB3" s="84"/>
      <c r="OEC3" s="84"/>
      <c r="OED3" s="84"/>
      <c r="OEE3" s="84"/>
      <c r="OEF3" s="84"/>
      <c r="OEG3" s="84"/>
      <c r="OEH3" s="84"/>
      <c r="OEI3" s="84"/>
      <c r="OEJ3" s="84"/>
      <c r="OEK3" s="84"/>
      <c r="OEL3" s="84"/>
      <c r="OEM3" s="84"/>
      <c r="OEN3" s="84"/>
      <c r="OEO3" s="84"/>
      <c r="OEP3" s="84"/>
      <c r="OEQ3" s="84"/>
      <c r="OER3" s="84"/>
      <c r="OES3" s="84"/>
      <c r="OET3" s="84"/>
      <c r="OEU3" s="84"/>
      <c r="OEV3" s="84"/>
      <c r="OEW3" s="84"/>
      <c r="OEX3" s="84"/>
      <c r="OEY3" s="84"/>
      <c r="OEZ3" s="84"/>
      <c r="OFA3" s="84"/>
      <c r="OFB3" s="84"/>
      <c r="OFC3" s="84"/>
      <c r="OFD3" s="84"/>
      <c r="OFE3" s="84"/>
      <c r="OFF3" s="84"/>
      <c r="OFG3" s="84"/>
      <c r="OFH3" s="84"/>
      <c r="OFI3" s="84"/>
      <c r="OFJ3" s="84"/>
      <c r="OFK3" s="84"/>
      <c r="OFL3" s="84"/>
      <c r="OFM3" s="84"/>
      <c r="OFN3" s="84"/>
      <c r="OFO3" s="84"/>
      <c r="OFP3" s="84"/>
      <c r="OFQ3" s="84"/>
      <c r="OFR3" s="84"/>
      <c r="OFS3" s="84"/>
      <c r="OFT3" s="84"/>
      <c r="OFU3" s="84"/>
      <c r="OFV3" s="84"/>
      <c r="OFW3" s="84"/>
      <c r="OFX3" s="84"/>
      <c r="OFY3" s="84"/>
      <c r="OFZ3" s="84"/>
      <c r="OGA3" s="84"/>
      <c r="OGB3" s="84"/>
      <c r="OGC3" s="84"/>
      <c r="OGD3" s="84"/>
      <c r="OGE3" s="84"/>
      <c r="OGF3" s="84"/>
      <c r="OGG3" s="84"/>
      <c r="OGH3" s="84"/>
      <c r="OGI3" s="84"/>
      <c r="OGJ3" s="84"/>
      <c r="OGK3" s="84"/>
      <c r="OGL3" s="84"/>
      <c r="OGM3" s="84"/>
      <c r="OGN3" s="84"/>
      <c r="OGO3" s="84"/>
      <c r="OGP3" s="84"/>
      <c r="OGQ3" s="84"/>
      <c r="OGR3" s="84"/>
      <c r="OGS3" s="84"/>
      <c r="OGT3" s="84"/>
      <c r="OGU3" s="84"/>
      <c r="OGV3" s="84"/>
      <c r="OGW3" s="84"/>
      <c r="OGX3" s="84"/>
      <c r="OGY3" s="84"/>
      <c r="OGZ3" s="84"/>
      <c r="OHA3" s="84"/>
      <c r="OHB3" s="84"/>
      <c r="OHC3" s="84"/>
      <c r="OHD3" s="84"/>
      <c r="OHE3" s="84"/>
      <c r="OHF3" s="84"/>
      <c r="OHG3" s="84"/>
      <c r="OHH3" s="84"/>
      <c r="OHI3" s="84"/>
      <c r="OHJ3" s="84"/>
      <c r="OHK3" s="84"/>
      <c r="OHL3" s="84"/>
      <c r="OHM3" s="84"/>
      <c r="OHN3" s="84"/>
      <c r="OHO3" s="84"/>
      <c r="OHP3" s="84"/>
      <c r="OHQ3" s="84"/>
      <c r="OHR3" s="84"/>
      <c r="OHS3" s="84"/>
      <c r="OHT3" s="84"/>
      <c r="OHU3" s="84"/>
      <c r="OHV3" s="84"/>
      <c r="OHW3" s="84"/>
      <c r="OHX3" s="84"/>
      <c r="OHY3" s="84"/>
      <c r="OHZ3" s="84"/>
      <c r="OIA3" s="84"/>
      <c r="OIB3" s="84"/>
      <c r="OIC3" s="84"/>
      <c r="OID3" s="84"/>
      <c r="OIE3" s="84"/>
      <c r="OIF3" s="84"/>
      <c r="OIG3" s="84"/>
      <c r="OIH3" s="84"/>
      <c r="OII3" s="84"/>
      <c r="OIJ3" s="84"/>
      <c r="OIK3" s="84"/>
      <c r="OIL3" s="84"/>
      <c r="OIM3" s="84"/>
      <c r="OIN3" s="84"/>
      <c r="OIO3" s="84"/>
      <c r="OIP3" s="84"/>
      <c r="OIQ3" s="84"/>
      <c r="OIR3" s="84"/>
      <c r="OIS3" s="84"/>
      <c r="OIT3" s="84"/>
      <c r="OIU3" s="84"/>
      <c r="OIV3" s="84"/>
      <c r="OIW3" s="84"/>
      <c r="OIX3" s="84"/>
      <c r="OIY3" s="84"/>
      <c r="OIZ3" s="84"/>
      <c r="OJA3" s="84"/>
      <c r="OJB3" s="84"/>
      <c r="OJC3" s="84"/>
      <c r="OJD3" s="84"/>
      <c r="OJE3" s="84"/>
      <c r="OJF3" s="84"/>
      <c r="OJG3" s="84"/>
      <c r="OJH3" s="84"/>
      <c r="OJI3" s="84"/>
      <c r="OJJ3" s="84"/>
      <c r="OJK3" s="84"/>
      <c r="OJL3" s="84"/>
      <c r="OJM3" s="84"/>
      <c r="OJN3" s="84"/>
      <c r="OJO3" s="84"/>
      <c r="OJP3" s="84"/>
      <c r="OJQ3" s="84"/>
      <c r="OJR3" s="84"/>
      <c r="OJS3" s="84"/>
      <c r="OJT3" s="84"/>
      <c r="OJU3" s="84"/>
      <c r="OJV3" s="84"/>
      <c r="OJW3" s="84"/>
      <c r="OJX3" s="84"/>
      <c r="OJY3" s="84"/>
      <c r="OJZ3" s="84"/>
      <c r="OKA3" s="84"/>
      <c r="OKB3" s="84"/>
      <c r="OKC3" s="84"/>
      <c r="OKD3" s="84"/>
      <c r="OKE3" s="84"/>
      <c r="OKF3" s="84"/>
      <c r="OKG3" s="84"/>
      <c r="OKH3" s="84"/>
      <c r="OKI3" s="84"/>
      <c r="OKJ3" s="84"/>
      <c r="OKK3" s="84"/>
      <c r="OKL3" s="84"/>
      <c r="OKM3" s="84"/>
      <c r="OKN3" s="84"/>
      <c r="OKO3" s="84"/>
      <c r="OKP3" s="84"/>
      <c r="OKQ3" s="84"/>
      <c r="OKR3" s="84"/>
      <c r="OKS3" s="84"/>
      <c r="OKT3" s="84"/>
      <c r="OKU3" s="84"/>
      <c r="OKV3" s="84"/>
      <c r="OKW3" s="84"/>
      <c r="OKX3" s="84"/>
      <c r="OKY3" s="84"/>
      <c r="OKZ3" s="84"/>
      <c r="OLA3" s="84"/>
      <c r="OLB3" s="84"/>
      <c r="OLC3" s="84"/>
      <c r="OLD3" s="84"/>
      <c r="OLE3" s="84"/>
      <c r="OLF3" s="84"/>
      <c r="OLG3" s="84"/>
      <c r="OLH3" s="84"/>
      <c r="OLI3" s="84"/>
      <c r="OLJ3" s="84"/>
      <c r="OLK3" s="84"/>
      <c r="OLL3" s="84"/>
      <c r="OLM3" s="84"/>
      <c r="OLN3" s="84"/>
      <c r="OLO3" s="84"/>
      <c r="OLP3" s="84"/>
      <c r="OLQ3" s="84"/>
      <c r="OLR3" s="84"/>
      <c r="OLS3" s="84"/>
      <c r="OLT3" s="84"/>
      <c r="OLU3" s="84"/>
      <c r="OLV3" s="84"/>
      <c r="OLW3" s="84"/>
      <c r="OLX3" s="84"/>
      <c r="OLY3" s="84"/>
      <c r="OLZ3" s="84"/>
      <c r="OMA3" s="84"/>
      <c r="OMB3" s="84"/>
      <c r="OMC3" s="84"/>
      <c r="OMD3" s="84"/>
      <c r="OME3" s="84"/>
      <c r="OMF3" s="84"/>
      <c r="OMG3" s="84"/>
      <c r="OMH3" s="84"/>
      <c r="OMI3" s="84"/>
      <c r="OMJ3" s="84"/>
      <c r="OMK3" s="84"/>
      <c r="OML3" s="84"/>
      <c r="OMM3" s="84"/>
      <c r="OMN3" s="84"/>
      <c r="OMO3" s="84"/>
      <c r="OMP3" s="84"/>
      <c r="OMQ3" s="84"/>
      <c r="OMR3" s="84"/>
      <c r="OMS3" s="84"/>
      <c r="OMT3" s="84"/>
      <c r="OMU3" s="84"/>
      <c r="OMV3" s="84"/>
      <c r="OMW3" s="84"/>
      <c r="OMX3" s="84"/>
      <c r="OMY3" s="84"/>
      <c r="OMZ3" s="84"/>
      <c r="ONA3" s="84"/>
      <c r="ONB3" s="84"/>
      <c r="ONC3" s="84"/>
      <c r="OND3" s="84"/>
      <c r="ONE3" s="84"/>
      <c r="ONF3" s="84"/>
      <c r="ONG3" s="84"/>
      <c r="ONH3" s="84"/>
      <c r="ONI3" s="84"/>
      <c r="ONJ3" s="84"/>
      <c r="ONK3" s="84"/>
      <c r="ONL3" s="84"/>
      <c r="ONM3" s="84"/>
      <c r="ONN3" s="84"/>
      <c r="ONO3" s="84"/>
      <c r="ONP3" s="84"/>
      <c r="ONQ3" s="84"/>
      <c r="ONR3" s="84"/>
      <c r="ONS3" s="84"/>
      <c r="ONT3" s="84"/>
      <c r="ONU3" s="84"/>
      <c r="ONV3" s="84"/>
      <c r="ONW3" s="84"/>
      <c r="ONX3" s="84"/>
      <c r="ONY3" s="84"/>
      <c r="ONZ3" s="84"/>
      <c r="OOA3" s="84"/>
      <c r="OOB3" s="84"/>
      <c r="OOC3" s="84"/>
      <c r="OOD3" s="84"/>
      <c r="OOE3" s="84"/>
      <c r="OOF3" s="84"/>
      <c r="OOG3" s="84"/>
      <c r="OOH3" s="84"/>
      <c r="OOI3" s="84"/>
      <c r="OOJ3" s="84"/>
      <c r="OOK3" s="84"/>
      <c r="OOL3" s="84"/>
      <c r="OOM3" s="84"/>
      <c r="OON3" s="84"/>
      <c r="OOO3" s="84"/>
      <c r="OOP3" s="84"/>
      <c r="OOQ3" s="84"/>
      <c r="OOR3" s="84"/>
      <c r="OOS3" s="84"/>
      <c r="OOT3" s="84"/>
      <c r="OOU3" s="84"/>
      <c r="OOV3" s="84"/>
      <c r="OOW3" s="84"/>
      <c r="OOX3" s="84"/>
      <c r="OOY3" s="84"/>
      <c r="OOZ3" s="84"/>
      <c r="OPA3" s="84"/>
      <c r="OPB3" s="84"/>
      <c r="OPC3" s="84"/>
      <c r="OPD3" s="84"/>
      <c r="OPE3" s="84"/>
      <c r="OPF3" s="84"/>
      <c r="OPG3" s="84"/>
      <c r="OPH3" s="84"/>
      <c r="OPI3" s="84"/>
      <c r="OPJ3" s="84"/>
      <c r="OPK3" s="84"/>
      <c r="OPL3" s="84"/>
      <c r="OPM3" s="84"/>
      <c r="OPN3" s="84"/>
      <c r="OPO3" s="84"/>
      <c r="OPP3" s="84"/>
      <c r="OPQ3" s="84"/>
      <c r="OPR3" s="84"/>
      <c r="OPS3" s="84"/>
      <c r="OPT3" s="84"/>
      <c r="OPU3" s="84"/>
      <c r="OPV3" s="84"/>
      <c r="OPW3" s="84"/>
      <c r="OPX3" s="84"/>
      <c r="OPY3" s="84"/>
      <c r="OPZ3" s="84"/>
      <c r="OQA3" s="84"/>
      <c r="OQB3" s="84"/>
      <c r="OQC3" s="84"/>
      <c r="OQD3" s="84"/>
      <c r="OQE3" s="84"/>
      <c r="OQF3" s="84"/>
      <c r="OQG3" s="84"/>
      <c r="OQH3" s="84"/>
      <c r="OQI3" s="84"/>
      <c r="OQJ3" s="84"/>
      <c r="OQK3" s="84"/>
      <c r="OQL3" s="84"/>
      <c r="OQM3" s="84"/>
      <c r="OQN3" s="84"/>
      <c r="OQO3" s="84"/>
      <c r="OQP3" s="84"/>
      <c r="OQQ3" s="84"/>
      <c r="OQR3" s="84"/>
      <c r="OQS3" s="84"/>
      <c r="OQT3" s="84"/>
      <c r="OQU3" s="84"/>
      <c r="OQV3" s="84"/>
      <c r="OQW3" s="84"/>
      <c r="OQX3" s="84"/>
      <c r="OQY3" s="84"/>
      <c r="OQZ3" s="84"/>
      <c r="ORA3" s="84"/>
      <c r="ORB3" s="84"/>
      <c r="ORC3" s="84"/>
      <c r="ORD3" s="84"/>
      <c r="ORE3" s="84"/>
      <c r="ORF3" s="84"/>
      <c r="ORG3" s="84"/>
      <c r="ORH3" s="84"/>
      <c r="ORI3" s="84"/>
      <c r="ORJ3" s="84"/>
      <c r="ORK3" s="84"/>
      <c r="ORL3" s="84"/>
      <c r="ORM3" s="84"/>
      <c r="ORN3" s="84"/>
      <c r="ORO3" s="84"/>
      <c r="ORP3" s="84"/>
      <c r="ORQ3" s="84"/>
      <c r="ORR3" s="84"/>
      <c r="ORS3" s="84"/>
      <c r="ORT3" s="84"/>
      <c r="ORU3" s="84"/>
      <c r="ORV3" s="84"/>
      <c r="ORW3" s="84"/>
      <c r="ORX3" s="84"/>
      <c r="ORY3" s="84"/>
      <c r="ORZ3" s="84"/>
      <c r="OSA3" s="84"/>
      <c r="OSB3" s="84"/>
      <c r="OSC3" s="84"/>
      <c r="OSD3" s="84"/>
      <c r="OSE3" s="84"/>
      <c r="OSF3" s="84"/>
      <c r="OSG3" s="84"/>
      <c r="OSH3" s="84"/>
      <c r="OSI3" s="84"/>
      <c r="OSJ3" s="84"/>
      <c r="OSK3" s="84"/>
      <c r="OSL3" s="84"/>
      <c r="OSM3" s="84"/>
      <c r="OSN3" s="84"/>
      <c r="OSO3" s="84"/>
      <c r="OSP3" s="84"/>
      <c r="OSQ3" s="84"/>
      <c r="OSR3" s="84"/>
      <c r="OSS3" s="84"/>
      <c r="OST3" s="84"/>
      <c r="OSU3" s="84"/>
      <c r="OSV3" s="84"/>
      <c r="OSW3" s="84"/>
      <c r="OSX3" s="84"/>
      <c r="OSY3" s="84"/>
      <c r="OSZ3" s="84"/>
      <c r="OTA3" s="84"/>
      <c r="OTB3" s="84"/>
      <c r="OTC3" s="84"/>
      <c r="OTD3" s="84"/>
      <c r="OTE3" s="84"/>
      <c r="OTF3" s="84"/>
      <c r="OTG3" s="84"/>
      <c r="OTH3" s="84"/>
      <c r="OTI3" s="84"/>
      <c r="OTJ3" s="84"/>
      <c r="OTK3" s="84"/>
      <c r="OTL3" s="84"/>
      <c r="OTM3" s="84"/>
      <c r="OTN3" s="84"/>
      <c r="OTO3" s="84"/>
      <c r="OTP3" s="84"/>
      <c r="OTQ3" s="84"/>
      <c r="OTR3" s="84"/>
      <c r="OTS3" s="84"/>
      <c r="OTT3" s="84"/>
      <c r="OTU3" s="84"/>
      <c r="OTV3" s="84"/>
      <c r="OTW3" s="84"/>
      <c r="OTX3" s="84"/>
      <c r="OTY3" s="84"/>
      <c r="OTZ3" s="84"/>
      <c r="OUA3" s="84"/>
      <c r="OUB3" s="84"/>
      <c r="OUC3" s="84"/>
      <c r="OUD3" s="84"/>
      <c r="OUE3" s="84"/>
      <c r="OUF3" s="84"/>
      <c r="OUG3" s="84"/>
      <c r="OUH3" s="84"/>
      <c r="OUI3" s="84"/>
      <c r="OUJ3" s="84"/>
      <c r="OUK3" s="84"/>
      <c r="OUL3" s="84"/>
      <c r="OUM3" s="84"/>
      <c r="OUN3" s="84"/>
      <c r="OUO3" s="84"/>
      <c r="OUP3" s="84"/>
      <c r="OUQ3" s="84"/>
      <c r="OUR3" s="84"/>
      <c r="OUS3" s="84"/>
      <c r="OUT3" s="84"/>
      <c r="OUU3" s="84"/>
      <c r="OUV3" s="84"/>
      <c r="OUW3" s="84"/>
      <c r="OUX3" s="84"/>
      <c r="OUY3" s="84"/>
      <c r="OUZ3" s="84"/>
      <c r="OVA3" s="84"/>
      <c r="OVB3" s="84"/>
      <c r="OVC3" s="84"/>
      <c r="OVD3" s="84"/>
      <c r="OVE3" s="84"/>
      <c r="OVF3" s="84"/>
      <c r="OVG3" s="84"/>
      <c r="OVH3" s="84"/>
      <c r="OVI3" s="84"/>
      <c r="OVJ3" s="84"/>
      <c r="OVK3" s="84"/>
      <c r="OVL3" s="84"/>
      <c r="OVM3" s="84"/>
      <c r="OVN3" s="84"/>
      <c r="OVO3" s="84"/>
      <c r="OVP3" s="84"/>
      <c r="OVQ3" s="84"/>
      <c r="OVR3" s="84"/>
      <c r="OVS3" s="84"/>
      <c r="OVT3" s="84"/>
      <c r="OVU3" s="84"/>
      <c r="OVV3" s="84"/>
      <c r="OVW3" s="84"/>
      <c r="OVX3" s="84"/>
      <c r="OVY3" s="84"/>
      <c r="OVZ3" s="84"/>
      <c r="OWA3" s="84"/>
      <c r="OWB3" s="84"/>
      <c r="OWC3" s="84"/>
      <c r="OWD3" s="84"/>
      <c r="OWE3" s="84"/>
      <c r="OWF3" s="84"/>
      <c r="OWG3" s="84"/>
      <c r="OWH3" s="84"/>
      <c r="OWI3" s="84"/>
      <c r="OWJ3" s="84"/>
      <c r="OWK3" s="84"/>
      <c r="OWL3" s="84"/>
      <c r="OWM3" s="84"/>
      <c r="OWN3" s="84"/>
      <c r="OWO3" s="84"/>
      <c r="OWP3" s="84"/>
      <c r="OWQ3" s="84"/>
      <c r="OWR3" s="84"/>
      <c r="OWS3" s="84"/>
      <c r="OWT3" s="84"/>
      <c r="OWU3" s="84"/>
      <c r="OWV3" s="84"/>
      <c r="OWW3" s="84"/>
      <c r="OWX3" s="84"/>
      <c r="OWY3" s="84"/>
      <c r="OWZ3" s="84"/>
      <c r="OXA3" s="84"/>
      <c r="OXB3" s="84"/>
      <c r="OXC3" s="84"/>
      <c r="OXD3" s="84"/>
      <c r="OXE3" s="84"/>
      <c r="OXF3" s="84"/>
      <c r="OXG3" s="84"/>
      <c r="OXH3" s="84"/>
      <c r="OXI3" s="84"/>
      <c r="OXJ3" s="84"/>
      <c r="OXK3" s="84"/>
      <c r="OXL3" s="84"/>
      <c r="OXM3" s="84"/>
      <c r="OXN3" s="84"/>
      <c r="OXO3" s="84"/>
      <c r="OXP3" s="84"/>
      <c r="OXQ3" s="84"/>
      <c r="OXR3" s="84"/>
      <c r="OXS3" s="84"/>
      <c r="OXT3" s="84"/>
      <c r="OXU3" s="84"/>
      <c r="OXV3" s="84"/>
      <c r="OXW3" s="84"/>
      <c r="OXX3" s="84"/>
      <c r="OXY3" s="84"/>
      <c r="OXZ3" s="84"/>
      <c r="OYA3" s="84"/>
      <c r="OYB3" s="84"/>
      <c r="OYC3" s="84"/>
      <c r="OYD3" s="84"/>
      <c r="OYE3" s="84"/>
      <c r="OYF3" s="84"/>
      <c r="OYG3" s="84"/>
      <c r="OYH3" s="84"/>
      <c r="OYI3" s="84"/>
      <c r="OYJ3" s="84"/>
      <c r="OYK3" s="84"/>
      <c r="OYL3" s="84"/>
      <c r="OYM3" s="84"/>
      <c r="OYN3" s="84"/>
      <c r="OYO3" s="84"/>
      <c r="OYP3" s="84"/>
      <c r="OYQ3" s="84"/>
      <c r="OYR3" s="84"/>
      <c r="OYS3" s="84"/>
      <c r="OYT3" s="84"/>
      <c r="OYU3" s="84"/>
      <c r="OYV3" s="84"/>
      <c r="OYW3" s="84"/>
      <c r="OYX3" s="84"/>
      <c r="OYY3" s="84"/>
      <c r="OYZ3" s="84"/>
      <c r="OZA3" s="84"/>
      <c r="OZB3" s="84"/>
      <c r="OZC3" s="84"/>
      <c r="OZD3" s="84"/>
      <c r="OZE3" s="84"/>
      <c r="OZF3" s="84"/>
      <c r="OZG3" s="84"/>
      <c r="OZH3" s="84"/>
      <c r="OZI3" s="84"/>
      <c r="OZJ3" s="84"/>
      <c r="OZK3" s="84"/>
      <c r="OZL3" s="84"/>
      <c r="OZM3" s="84"/>
      <c r="OZN3" s="84"/>
      <c r="OZO3" s="84"/>
      <c r="OZP3" s="84"/>
      <c r="OZQ3" s="84"/>
      <c r="OZR3" s="84"/>
      <c r="OZS3" s="84"/>
      <c r="OZT3" s="84"/>
      <c r="OZU3" s="84"/>
      <c r="OZV3" s="84"/>
      <c r="OZW3" s="84"/>
      <c r="OZX3" s="84"/>
      <c r="OZY3" s="84"/>
      <c r="OZZ3" s="84"/>
      <c r="PAA3" s="84"/>
      <c r="PAB3" s="84"/>
      <c r="PAC3" s="84"/>
      <c r="PAD3" s="84"/>
      <c r="PAE3" s="84"/>
      <c r="PAF3" s="84"/>
      <c r="PAG3" s="84"/>
      <c r="PAH3" s="84"/>
      <c r="PAI3" s="84"/>
      <c r="PAJ3" s="84"/>
      <c r="PAK3" s="84"/>
      <c r="PAL3" s="84"/>
      <c r="PAM3" s="84"/>
      <c r="PAN3" s="84"/>
      <c r="PAO3" s="84"/>
      <c r="PAP3" s="84"/>
      <c r="PAQ3" s="84"/>
      <c r="PAR3" s="84"/>
      <c r="PAS3" s="84"/>
      <c r="PAT3" s="84"/>
      <c r="PAU3" s="84"/>
      <c r="PAV3" s="84"/>
      <c r="PAW3" s="84"/>
      <c r="PAX3" s="84"/>
      <c r="PAY3" s="84"/>
      <c r="PAZ3" s="84"/>
      <c r="PBA3" s="84"/>
      <c r="PBB3" s="84"/>
      <c r="PBC3" s="84"/>
      <c r="PBD3" s="84"/>
      <c r="PBE3" s="84"/>
      <c r="PBF3" s="84"/>
      <c r="PBG3" s="84"/>
      <c r="PBH3" s="84"/>
      <c r="PBI3" s="84"/>
      <c r="PBJ3" s="84"/>
      <c r="PBK3" s="84"/>
      <c r="PBL3" s="84"/>
      <c r="PBM3" s="84"/>
      <c r="PBN3" s="84"/>
      <c r="PBO3" s="84"/>
      <c r="PBP3" s="84"/>
      <c r="PBQ3" s="84"/>
      <c r="PBR3" s="84"/>
      <c r="PBS3" s="84"/>
      <c r="PBT3" s="84"/>
      <c r="PBU3" s="84"/>
      <c r="PBV3" s="84"/>
      <c r="PBW3" s="84"/>
      <c r="PBX3" s="84"/>
      <c r="PBY3" s="84"/>
      <c r="PBZ3" s="84"/>
      <c r="PCA3" s="84"/>
      <c r="PCB3" s="84"/>
      <c r="PCC3" s="84"/>
      <c r="PCD3" s="84"/>
      <c r="PCE3" s="84"/>
      <c r="PCF3" s="84"/>
      <c r="PCG3" s="84"/>
      <c r="PCH3" s="84"/>
      <c r="PCI3" s="84"/>
      <c r="PCJ3" s="84"/>
      <c r="PCK3" s="84"/>
      <c r="PCL3" s="84"/>
      <c r="PCM3" s="84"/>
      <c r="PCN3" s="84"/>
      <c r="PCO3" s="84"/>
      <c r="PCP3" s="84"/>
      <c r="PCQ3" s="84"/>
      <c r="PCR3" s="84"/>
      <c r="PCS3" s="84"/>
      <c r="PCT3" s="84"/>
      <c r="PCU3" s="84"/>
      <c r="PCV3" s="84"/>
      <c r="PCW3" s="84"/>
      <c r="PCX3" s="84"/>
      <c r="PCY3" s="84"/>
      <c r="PCZ3" s="84"/>
      <c r="PDA3" s="84"/>
      <c r="PDB3" s="84"/>
      <c r="PDC3" s="84"/>
      <c r="PDD3" s="84"/>
      <c r="PDE3" s="84"/>
      <c r="PDF3" s="84"/>
      <c r="PDG3" s="84"/>
      <c r="PDH3" s="84"/>
      <c r="PDI3" s="84"/>
      <c r="PDJ3" s="84"/>
      <c r="PDK3" s="84"/>
      <c r="PDL3" s="84"/>
      <c r="PDM3" s="84"/>
      <c r="PDN3" s="84"/>
      <c r="PDO3" s="84"/>
      <c r="PDP3" s="84"/>
      <c r="PDQ3" s="84"/>
      <c r="PDR3" s="84"/>
      <c r="PDS3" s="84"/>
      <c r="PDT3" s="84"/>
      <c r="PDU3" s="84"/>
      <c r="PDV3" s="84"/>
      <c r="PDW3" s="84"/>
      <c r="PDX3" s="84"/>
      <c r="PDY3" s="84"/>
      <c r="PDZ3" s="84"/>
      <c r="PEA3" s="84"/>
      <c r="PEB3" s="84"/>
      <c r="PEC3" s="84"/>
      <c r="PED3" s="84"/>
      <c r="PEE3" s="84"/>
      <c r="PEF3" s="84"/>
      <c r="PEG3" s="84"/>
      <c r="PEH3" s="84"/>
      <c r="PEI3" s="84"/>
      <c r="PEJ3" s="84"/>
      <c r="PEK3" s="84"/>
      <c r="PEL3" s="84"/>
      <c r="PEM3" s="84"/>
      <c r="PEN3" s="84"/>
      <c r="PEO3" s="84"/>
      <c r="PEP3" s="84"/>
      <c r="PEQ3" s="84"/>
      <c r="PER3" s="84"/>
      <c r="PES3" s="84"/>
      <c r="PET3" s="84"/>
      <c r="PEU3" s="84"/>
      <c r="PEV3" s="84"/>
      <c r="PEW3" s="84"/>
      <c r="PEX3" s="84"/>
      <c r="PEY3" s="84"/>
      <c r="PEZ3" s="84"/>
      <c r="PFA3" s="84"/>
      <c r="PFB3" s="84"/>
      <c r="PFC3" s="84"/>
      <c r="PFD3" s="84"/>
      <c r="PFE3" s="84"/>
      <c r="PFF3" s="84"/>
      <c r="PFG3" s="84"/>
      <c r="PFH3" s="84"/>
      <c r="PFI3" s="84"/>
      <c r="PFJ3" s="84"/>
      <c r="PFK3" s="84"/>
      <c r="PFL3" s="84"/>
      <c r="PFM3" s="84"/>
      <c r="PFN3" s="84"/>
      <c r="PFO3" s="84"/>
      <c r="PFP3" s="84"/>
      <c r="PFQ3" s="84"/>
      <c r="PFR3" s="84"/>
      <c r="PFS3" s="84"/>
      <c r="PFT3" s="84"/>
      <c r="PFU3" s="84"/>
      <c r="PFV3" s="84"/>
      <c r="PFW3" s="84"/>
      <c r="PFX3" s="84"/>
      <c r="PFY3" s="84"/>
      <c r="PFZ3" s="84"/>
      <c r="PGA3" s="84"/>
      <c r="PGB3" s="84"/>
      <c r="PGC3" s="84"/>
      <c r="PGD3" s="84"/>
      <c r="PGE3" s="84"/>
      <c r="PGF3" s="84"/>
      <c r="PGG3" s="84"/>
      <c r="PGH3" s="84"/>
      <c r="PGI3" s="84"/>
      <c r="PGJ3" s="84"/>
      <c r="PGK3" s="84"/>
      <c r="PGL3" s="84"/>
      <c r="PGM3" s="84"/>
      <c r="PGN3" s="84"/>
      <c r="PGO3" s="84"/>
      <c r="PGP3" s="84"/>
      <c r="PGQ3" s="84"/>
      <c r="PGR3" s="84"/>
      <c r="PGS3" s="84"/>
      <c r="PGT3" s="84"/>
      <c r="PGU3" s="84"/>
      <c r="PGV3" s="84"/>
      <c r="PGW3" s="84"/>
      <c r="PGX3" s="84"/>
      <c r="PGY3" s="84"/>
      <c r="PGZ3" s="84"/>
      <c r="PHA3" s="84"/>
      <c r="PHB3" s="84"/>
      <c r="PHC3" s="84"/>
      <c r="PHD3" s="84"/>
      <c r="PHE3" s="84"/>
      <c r="PHF3" s="84"/>
      <c r="PHG3" s="84"/>
      <c r="PHH3" s="84"/>
      <c r="PHI3" s="84"/>
      <c r="PHJ3" s="84"/>
      <c r="PHK3" s="84"/>
      <c r="PHL3" s="84"/>
      <c r="PHM3" s="84"/>
      <c r="PHN3" s="84"/>
      <c r="PHO3" s="84"/>
      <c r="PHP3" s="84"/>
      <c r="PHQ3" s="84"/>
      <c r="PHR3" s="84"/>
      <c r="PHS3" s="84"/>
      <c r="PHT3" s="84"/>
      <c r="PHU3" s="84"/>
      <c r="PHV3" s="84"/>
      <c r="PHW3" s="84"/>
      <c r="PHX3" s="84"/>
      <c r="PHY3" s="84"/>
      <c r="PHZ3" s="84"/>
      <c r="PIA3" s="84"/>
      <c r="PIB3" s="84"/>
      <c r="PIC3" s="84"/>
      <c r="PID3" s="84"/>
      <c r="PIE3" s="84"/>
      <c r="PIF3" s="84"/>
      <c r="PIG3" s="84"/>
      <c r="PIH3" s="84"/>
      <c r="PII3" s="84"/>
      <c r="PIJ3" s="84"/>
      <c r="PIK3" s="84"/>
      <c r="PIL3" s="84"/>
      <c r="PIM3" s="84"/>
      <c r="PIN3" s="84"/>
      <c r="PIO3" s="84"/>
      <c r="PIP3" s="84"/>
      <c r="PIQ3" s="84"/>
      <c r="PIR3" s="84"/>
      <c r="PIS3" s="84"/>
      <c r="PIT3" s="84"/>
      <c r="PIU3" s="84"/>
      <c r="PIV3" s="84"/>
      <c r="PIW3" s="84"/>
      <c r="PIX3" s="84"/>
      <c r="PIY3" s="84"/>
      <c r="PIZ3" s="84"/>
      <c r="PJA3" s="84"/>
      <c r="PJB3" s="84"/>
      <c r="PJC3" s="84"/>
      <c r="PJD3" s="84"/>
      <c r="PJE3" s="84"/>
      <c r="PJF3" s="84"/>
      <c r="PJG3" s="84"/>
      <c r="PJH3" s="84"/>
      <c r="PJI3" s="84"/>
      <c r="PJJ3" s="84"/>
      <c r="PJK3" s="84"/>
      <c r="PJL3" s="84"/>
      <c r="PJM3" s="84"/>
      <c r="PJN3" s="84"/>
      <c r="PJO3" s="84"/>
      <c r="PJP3" s="84"/>
      <c r="PJQ3" s="84"/>
      <c r="PJR3" s="84"/>
      <c r="PJS3" s="84"/>
      <c r="PJT3" s="84"/>
      <c r="PJU3" s="84"/>
      <c r="PJV3" s="84"/>
      <c r="PJW3" s="84"/>
      <c r="PJX3" s="84"/>
      <c r="PJY3" s="84"/>
      <c r="PJZ3" s="84"/>
      <c r="PKA3" s="84"/>
      <c r="PKB3" s="84"/>
      <c r="PKC3" s="84"/>
      <c r="PKD3" s="84"/>
      <c r="PKE3" s="84"/>
      <c r="PKF3" s="84"/>
      <c r="PKG3" s="84"/>
      <c r="PKH3" s="84"/>
      <c r="PKI3" s="84"/>
      <c r="PKJ3" s="84"/>
      <c r="PKK3" s="84"/>
      <c r="PKL3" s="84"/>
      <c r="PKM3" s="84"/>
      <c r="PKN3" s="84"/>
      <c r="PKO3" s="84"/>
      <c r="PKP3" s="84"/>
      <c r="PKQ3" s="84"/>
      <c r="PKR3" s="84"/>
      <c r="PKS3" s="84"/>
      <c r="PKT3" s="84"/>
      <c r="PKU3" s="84"/>
      <c r="PKV3" s="84"/>
      <c r="PKW3" s="84"/>
      <c r="PKX3" s="84"/>
      <c r="PKY3" s="84"/>
      <c r="PKZ3" s="84"/>
      <c r="PLA3" s="84"/>
      <c r="PLB3" s="84"/>
      <c r="PLC3" s="84"/>
      <c r="PLD3" s="84"/>
      <c r="PLE3" s="84"/>
      <c r="PLF3" s="84"/>
      <c r="PLG3" s="84"/>
      <c r="PLH3" s="84"/>
      <c r="PLI3" s="84"/>
      <c r="PLJ3" s="84"/>
      <c r="PLK3" s="84"/>
      <c r="PLL3" s="84"/>
      <c r="PLM3" s="84"/>
      <c r="PLN3" s="84"/>
      <c r="PLO3" s="84"/>
      <c r="PLP3" s="84"/>
      <c r="PLQ3" s="84"/>
      <c r="PLR3" s="84"/>
      <c r="PLS3" s="84"/>
      <c r="PLT3" s="84"/>
      <c r="PLU3" s="84"/>
      <c r="PLV3" s="84"/>
      <c r="PLW3" s="84"/>
      <c r="PLX3" s="84"/>
      <c r="PLY3" s="84"/>
      <c r="PLZ3" s="84"/>
      <c r="PMA3" s="84"/>
      <c r="PMB3" s="84"/>
      <c r="PMC3" s="84"/>
      <c r="PMD3" s="84"/>
      <c r="PME3" s="84"/>
      <c r="PMF3" s="84"/>
      <c r="PMG3" s="84"/>
      <c r="PMH3" s="84"/>
      <c r="PMI3" s="84"/>
      <c r="PMJ3" s="84"/>
      <c r="PMK3" s="84"/>
      <c r="PML3" s="84"/>
      <c r="PMM3" s="84"/>
      <c r="PMN3" s="84"/>
      <c r="PMO3" s="84"/>
      <c r="PMP3" s="84"/>
      <c r="PMQ3" s="84"/>
      <c r="PMR3" s="84"/>
      <c r="PMS3" s="84"/>
      <c r="PMT3" s="84"/>
      <c r="PMU3" s="84"/>
      <c r="PMV3" s="84"/>
      <c r="PMW3" s="84"/>
      <c r="PMX3" s="84"/>
      <c r="PMY3" s="84"/>
      <c r="PMZ3" s="84"/>
      <c r="PNA3" s="84"/>
      <c r="PNB3" s="84"/>
      <c r="PNC3" s="84"/>
      <c r="PND3" s="84"/>
      <c r="PNE3" s="84"/>
      <c r="PNF3" s="84"/>
      <c r="PNG3" s="84"/>
      <c r="PNH3" s="84"/>
      <c r="PNI3" s="84"/>
      <c r="PNJ3" s="84"/>
      <c r="PNK3" s="84"/>
      <c r="PNL3" s="84"/>
      <c r="PNM3" s="84"/>
      <c r="PNN3" s="84"/>
      <c r="PNO3" s="84"/>
      <c r="PNP3" s="84"/>
      <c r="PNQ3" s="84"/>
      <c r="PNR3" s="84"/>
      <c r="PNS3" s="84"/>
      <c r="PNT3" s="84"/>
      <c r="PNU3" s="84"/>
      <c r="PNV3" s="84"/>
      <c r="PNW3" s="84"/>
      <c r="PNX3" s="84"/>
      <c r="PNY3" s="84"/>
      <c r="PNZ3" s="84"/>
      <c r="POA3" s="84"/>
      <c r="POB3" s="84"/>
      <c r="POC3" s="84"/>
      <c r="POD3" s="84"/>
      <c r="POE3" s="84"/>
      <c r="POF3" s="84"/>
      <c r="POG3" s="84"/>
      <c r="POH3" s="84"/>
      <c r="POI3" s="84"/>
      <c r="POJ3" s="84"/>
      <c r="POK3" s="84"/>
      <c r="POL3" s="84"/>
      <c r="POM3" s="84"/>
      <c r="PON3" s="84"/>
      <c r="POO3" s="84"/>
      <c r="POP3" s="84"/>
      <c r="POQ3" s="84"/>
      <c r="POR3" s="84"/>
      <c r="POS3" s="84"/>
      <c r="POT3" s="84"/>
      <c r="POU3" s="84"/>
      <c r="POV3" s="84"/>
      <c r="POW3" s="84"/>
      <c r="POX3" s="84"/>
      <c r="POY3" s="84"/>
      <c r="POZ3" s="84"/>
      <c r="PPA3" s="84"/>
      <c r="PPB3" s="84"/>
      <c r="PPC3" s="84"/>
      <c r="PPD3" s="84"/>
      <c r="PPE3" s="84"/>
      <c r="PPF3" s="84"/>
      <c r="PPG3" s="84"/>
      <c r="PPH3" s="84"/>
      <c r="PPI3" s="84"/>
      <c r="PPJ3" s="84"/>
      <c r="PPK3" s="84"/>
      <c r="PPL3" s="84"/>
      <c r="PPM3" s="84"/>
      <c r="PPN3" s="84"/>
      <c r="PPO3" s="84"/>
      <c r="PPP3" s="84"/>
      <c r="PPQ3" s="84"/>
      <c r="PPR3" s="84"/>
      <c r="PPS3" s="84"/>
      <c r="PPT3" s="84"/>
      <c r="PPU3" s="84"/>
      <c r="PPV3" s="84"/>
      <c r="PPW3" s="84"/>
      <c r="PPX3" s="84"/>
      <c r="PPY3" s="84"/>
      <c r="PPZ3" s="84"/>
      <c r="PQA3" s="84"/>
      <c r="PQB3" s="84"/>
      <c r="PQC3" s="84"/>
      <c r="PQD3" s="84"/>
      <c r="PQE3" s="84"/>
      <c r="PQF3" s="84"/>
      <c r="PQG3" s="84"/>
      <c r="PQH3" s="84"/>
      <c r="PQI3" s="84"/>
      <c r="PQJ3" s="84"/>
      <c r="PQK3" s="84"/>
      <c r="PQL3" s="84"/>
      <c r="PQM3" s="84"/>
      <c r="PQN3" s="84"/>
      <c r="PQO3" s="84"/>
      <c r="PQP3" s="84"/>
      <c r="PQQ3" s="84"/>
      <c r="PQR3" s="84"/>
      <c r="PQS3" s="84"/>
      <c r="PQT3" s="84"/>
      <c r="PQU3" s="84"/>
      <c r="PQV3" s="84"/>
      <c r="PQW3" s="84"/>
      <c r="PQX3" s="84"/>
      <c r="PQY3" s="84"/>
      <c r="PQZ3" s="84"/>
      <c r="PRA3" s="84"/>
      <c r="PRB3" s="84"/>
      <c r="PRC3" s="84"/>
      <c r="PRD3" s="84"/>
      <c r="PRE3" s="84"/>
      <c r="PRF3" s="84"/>
      <c r="PRG3" s="84"/>
      <c r="PRH3" s="84"/>
      <c r="PRI3" s="84"/>
      <c r="PRJ3" s="84"/>
      <c r="PRK3" s="84"/>
      <c r="PRL3" s="84"/>
      <c r="PRM3" s="84"/>
      <c r="PRN3" s="84"/>
      <c r="PRO3" s="84"/>
      <c r="PRP3" s="84"/>
      <c r="PRQ3" s="84"/>
      <c r="PRR3" s="84"/>
      <c r="PRS3" s="84"/>
      <c r="PRT3" s="84"/>
      <c r="PRU3" s="84"/>
      <c r="PRV3" s="84"/>
      <c r="PRW3" s="84"/>
      <c r="PRX3" s="84"/>
      <c r="PRY3" s="84"/>
      <c r="PRZ3" s="84"/>
      <c r="PSA3" s="84"/>
      <c r="PSB3" s="84"/>
      <c r="PSC3" s="84"/>
      <c r="PSD3" s="84"/>
      <c r="PSE3" s="84"/>
      <c r="PSF3" s="84"/>
      <c r="PSG3" s="84"/>
      <c r="PSH3" s="84"/>
      <c r="PSI3" s="84"/>
      <c r="PSJ3" s="84"/>
      <c r="PSK3" s="84"/>
      <c r="PSL3" s="84"/>
      <c r="PSM3" s="84"/>
      <c r="PSN3" s="84"/>
      <c r="PSO3" s="84"/>
      <c r="PSP3" s="84"/>
      <c r="PSQ3" s="84"/>
      <c r="PSR3" s="84"/>
      <c r="PSS3" s="84"/>
      <c r="PST3" s="84"/>
      <c r="PSU3" s="84"/>
      <c r="PSV3" s="84"/>
      <c r="PSW3" s="84"/>
      <c r="PSX3" s="84"/>
      <c r="PSY3" s="84"/>
      <c r="PSZ3" s="84"/>
      <c r="PTA3" s="84"/>
      <c r="PTB3" s="84"/>
      <c r="PTC3" s="84"/>
      <c r="PTD3" s="84"/>
      <c r="PTE3" s="84"/>
      <c r="PTF3" s="84"/>
      <c r="PTG3" s="84"/>
      <c r="PTH3" s="84"/>
      <c r="PTI3" s="84"/>
      <c r="PTJ3" s="84"/>
      <c r="PTK3" s="84"/>
      <c r="PTL3" s="84"/>
      <c r="PTM3" s="84"/>
      <c r="PTN3" s="84"/>
      <c r="PTO3" s="84"/>
      <c r="PTP3" s="84"/>
      <c r="PTQ3" s="84"/>
      <c r="PTR3" s="84"/>
      <c r="PTS3" s="84"/>
      <c r="PTT3" s="84"/>
      <c r="PTU3" s="84"/>
      <c r="PTV3" s="84"/>
      <c r="PTW3" s="84"/>
      <c r="PTX3" s="84"/>
      <c r="PTY3" s="84"/>
      <c r="PTZ3" s="84"/>
      <c r="PUA3" s="84"/>
      <c r="PUB3" s="84"/>
      <c r="PUC3" s="84"/>
      <c r="PUD3" s="84"/>
      <c r="PUE3" s="84"/>
      <c r="PUF3" s="84"/>
      <c r="PUG3" s="84"/>
      <c r="PUH3" s="84"/>
      <c r="PUI3" s="84"/>
      <c r="PUJ3" s="84"/>
      <c r="PUK3" s="84"/>
      <c r="PUL3" s="84"/>
      <c r="PUM3" s="84"/>
      <c r="PUN3" s="84"/>
      <c r="PUO3" s="84"/>
      <c r="PUP3" s="84"/>
      <c r="PUQ3" s="84"/>
      <c r="PUR3" s="84"/>
      <c r="PUS3" s="84"/>
      <c r="PUT3" s="84"/>
      <c r="PUU3" s="84"/>
      <c r="PUV3" s="84"/>
      <c r="PUW3" s="84"/>
      <c r="PUX3" s="84"/>
      <c r="PUY3" s="84"/>
      <c r="PUZ3" s="84"/>
      <c r="PVA3" s="84"/>
      <c r="PVB3" s="84"/>
      <c r="PVC3" s="84"/>
      <c r="PVD3" s="84"/>
      <c r="PVE3" s="84"/>
      <c r="PVF3" s="84"/>
      <c r="PVG3" s="84"/>
      <c r="PVH3" s="84"/>
      <c r="PVI3" s="84"/>
      <c r="PVJ3" s="84"/>
      <c r="PVK3" s="84"/>
      <c r="PVL3" s="84"/>
      <c r="PVM3" s="84"/>
      <c r="PVN3" s="84"/>
      <c r="PVO3" s="84"/>
      <c r="PVP3" s="84"/>
      <c r="PVQ3" s="84"/>
      <c r="PVR3" s="84"/>
      <c r="PVS3" s="84"/>
      <c r="PVT3" s="84"/>
      <c r="PVU3" s="84"/>
      <c r="PVV3" s="84"/>
      <c r="PVW3" s="84"/>
      <c r="PVX3" s="84"/>
      <c r="PVY3" s="84"/>
      <c r="PVZ3" s="84"/>
      <c r="PWA3" s="84"/>
      <c r="PWB3" s="84"/>
      <c r="PWC3" s="84"/>
      <c r="PWD3" s="84"/>
      <c r="PWE3" s="84"/>
      <c r="PWF3" s="84"/>
      <c r="PWG3" s="84"/>
      <c r="PWH3" s="84"/>
      <c r="PWI3" s="84"/>
      <c r="PWJ3" s="84"/>
      <c r="PWK3" s="84"/>
      <c r="PWL3" s="84"/>
      <c r="PWM3" s="84"/>
      <c r="PWN3" s="84"/>
      <c r="PWO3" s="84"/>
      <c r="PWP3" s="84"/>
      <c r="PWQ3" s="84"/>
      <c r="PWR3" s="84"/>
      <c r="PWS3" s="84"/>
      <c r="PWT3" s="84"/>
      <c r="PWU3" s="84"/>
      <c r="PWV3" s="84"/>
      <c r="PWW3" s="84"/>
      <c r="PWX3" s="84"/>
      <c r="PWY3" s="84"/>
      <c r="PWZ3" s="84"/>
      <c r="PXA3" s="84"/>
      <c r="PXB3" s="84"/>
      <c r="PXC3" s="84"/>
      <c r="PXD3" s="84"/>
      <c r="PXE3" s="84"/>
      <c r="PXF3" s="84"/>
      <c r="PXG3" s="84"/>
      <c r="PXH3" s="84"/>
      <c r="PXI3" s="84"/>
      <c r="PXJ3" s="84"/>
      <c r="PXK3" s="84"/>
      <c r="PXL3" s="84"/>
      <c r="PXM3" s="84"/>
      <c r="PXN3" s="84"/>
      <c r="PXO3" s="84"/>
      <c r="PXP3" s="84"/>
      <c r="PXQ3" s="84"/>
      <c r="PXR3" s="84"/>
      <c r="PXS3" s="84"/>
      <c r="PXT3" s="84"/>
      <c r="PXU3" s="84"/>
      <c r="PXV3" s="84"/>
      <c r="PXW3" s="84"/>
      <c r="PXX3" s="84"/>
      <c r="PXY3" s="84"/>
      <c r="PXZ3" s="84"/>
      <c r="PYA3" s="84"/>
      <c r="PYB3" s="84"/>
      <c r="PYC3" s="84"/>
      <c r="PYD3" s="84"/>
      <c r="PYE3" s="84"/>
      <c r="PYF3" s="84"/>
      <c r="PYG3" s="84"/>
      <c r="PYH3" s="84"/>
      <c r="PYI3" s="84"/>
      <c r="PYJ3" s="84"/>
      <c r="PYK3" s="84"/>
      <c r="PYL3" s="84"/>
      <c r="PYM3" s="84"/>
      <c r="PYN3" s="84"/>
      <c r="PYO3" s="84"/>
      <c r="PYP3" s="84"/>
      <c r="PYQ3" s="84"/>
      <c r="PYR3" s="84"/>
      <c r="PYS3" s="84"/>
      <c r="PYT3" s="84"/>
      <c r="PYU3" s="84"/>
      <c r="PYV3" s="84"/>
      <c r="PYW3" s="84"/>
      <c r="PYX3" s="84"/>
      <c r="PYY3" s="84"/>
      <c r="PYZ3" s="84"/>
      <c r="PZA3" s="84"/>
      <c r="PZB3" s="84"/>
      <c r="PZC3" s="84"/>
      <c r="PZD3" s="84"/>
      <c r="PZE3" s="84"/>
      <c r="PZF3" s="84"/>
      <c r="PZG3" s="84"/>
      <c r="PZH3" s="84"/>
      <c r="PZI3" s="84"/>
      <c r="PZJ3" s="84"/>
      <c r="PZK3" s="84"/>
      <c r="PZL3" s="84"/>
      <c r="PZM3" s="84"/>
      <c r="PZN3" s="84"/>
      <c r="PZO3" s="84"/>
      <c r="PZP3" s="84"/>
      <c r="PZQ3" s="84"/>
      <c r="PZR3" s="84"/>
      <c r="PZS3" s="84"/>
      <c r="PZT3" s="84"/>
      <c r="PZU3" s="84"/>
      <c r="PZV3" s="84"/>
      <c r="PZW3" s="84"/>
      <c r="PZX3" s="84"/>
      <c r="PZY3" s="84"/>
      <c r="PZZ3" s="84"/>
      <c r="QAA3" s="84"/>
      <c r="QAB3" s="84"/>
      <c r="QAC3" s="84"/>
      <c r="QAD3" s="84"/>
      <c r="QAE3" s="84"/>
      <c r="QAF3" s="84"/>
      <c r="QAG3" s="84"/>
      <c r="QAH3" s="84"/>
      <c r="QAI3" s="84"/>
      <c r="QAJ3" s="84"/>
      <c r="QAK3" s="84"/>
      <c r="QAL3" s="84"/>
      <c r="QAM3" s="84"/>
      <c r="QAN3" s="84"/>
      <c r="QAO3" s="84"/>
      <c r="QAP3" s="84"/>
      <c r="QAQ3" s="84"/>
      <c r="QAR3" s="84"/>
      <c r="QAS3" s="84"/>
      <c r="QAT3" s="84"/>
      <c r="QAU3" s="84"/>
      <c r="QAV3" s="84"/>
      <c r="QAW3" s="84"/>
      <c r="QAX3" s="84"/>
      <c r="QAY3" s="84"/>
      <c r="QAZ3" s="84"/>
      <c r="QBA3" s="84"/>
      <c r="QBB3" s="84"/>
      <c r="QBC3" s="84"/>
      <c r="QBD3" s="84"/>
      <c r="QBE3" s="84"/>
      <c r="QBF3" s="84"/>
      <c r="QBG3" s="84"/>
      <c r="QBH3" s="84"/>
      <c r="QBI3" s="84"/>
      <c r="QBJ3" s="84"/>
      <c r="QBK3" s="84"/>
      <c r="QBL3" s="84"/>
      <c r="QBM3" s="84"/>
      <c r="QBN3" s="84"/>
      <c r="QBO3" s="84"/>
      <c r="QBP3" s="84"/>
      <c r="QBQ3" s="84"/>
      <c r="QBR3" s="84"/>
      <c r="QBS3" s="84"/>
      <c r="QBT3" s="84"/>
      <c r="QBU3" s="84"/>
      <c r="QBV3" s="84"/>
      <c r="QBW3" s="84"/>
      <c r="QBX3" s="84"/>
      <c r="QBY3" s="84"/>
      <c r="QBZ3" s="84"/>
      <c r="QCA3" s="84"/>
      <c r="QCB3" s="84"/>
      <c r="QCC3" s="84"/>
      <c r="QCD3" s="84"/>
      <c r="QCE3" s="84"/>
      <c r="QCF3" s="84"/>
      <c r="QCG3" s="84"/>
      <c r="QCH3" s="84"/>
      <c r="QCI3" s="84"/>
      <c r="QCJ3" s="84"/>
      <c r="QCK3" s="84"/>
      <c r="QCL3" s="84"/>
      <c r="QCM3" s="84"/>
      <c r="QCN3" s="84"/>
      <c r="QCO3" s="84"/>
      <c r="QCP3" s="84"/>
      <c r="QCQ3" s="84"/>
      <c r="QCR3" s="84"/>
      <c r="QCS3" s="84"/>
      <c r="QCT3" s="84"/>
      <c r="QCU3" s="84"/>
      <c r="QCV3" s="84"/>
      <c r="QCW3" s="84"/>
      <c r="QCX3" s="84"/>
      <c r="QCY3" s="84"/>
      <c r="QCZ3" s="84"/>
      <c r="QDA3" s="84"/>
      <c r="QDB3" s="84"/>
      <c r="QDC3" s="84"/>
      <c r="QDD3" s="84"/>
      <c r="QDE3" s="84"/>
      <c r="QDF3" s="84"/>
      <c r="QDG3" s="84"/>
      <c r="QDH3" s="84"/>
      <c r="QDI3" s="84"/>
      <c r="QDJ3" s="84"/>
      <c r="QDK3" s="84"/>
      <c r="QDL3" s="84"/>
      <c r="QDM3" s="84"/>
      <c r="QDN3" s="84"/>
      <c r="QDO3" s="84"/>
      <c r="QDP3" s="84"/>
      <c r="QDQ3" s="84"/>
      <c r="QDR3" s="84"/>
      <c r="QDS3" s="84"/>
      <c r="QDT3" s="84"/>
      <c r="QDU3" s="84"/>
      <c r="QDV3" s="84"/>
      <c r="QDW3" s="84"/>
      <c r="QDX3" s="84"/>
      <c r="QDY3" s="84"/>
      <c r="QDZ3" s="84"/>
      <c r="QEA3" s="84"/>
      <c r="QEB3" s="84"/>
      <c r="QEC3" s="84"/>
      <c r="QED3" s="84"/>
      <c r="QEE3" s="84"/>
      <c r="QEF3" s="84"/>
      <c r="QEG3" s="84"/>
      <c r="QEH3" s="84"/>
      <c r="QEI3" s="84"/>
      <c r="QEJ3" s="84"/>
      <c r="QEK3" s="84"/>
      <c r="QEL3" s="84"/>
      <c r="QEM3" s="84"/>
      <c r="QEN3" s="84"/>
      <c r="QEO3" s="84"/>
      <c r="QEP3" s="84"/>
      <c r="QEQ3" s="84"/>
      <c r="QER3" s="84"/>
      <c r="QES3" s="84"/>
      <c r="QET3" s="84"/>
      <c r="QEU3" s="84"/>
      <c r="QEV3" s="84"/>
      <c r="QEW3" s="84"/>
      <c r="QEX3" s="84"/>
      <c r="QEY3" s="84"/>
      <c r="QEZ3" s="84"/>
      <c r="QFA3" s="84"/>
      <c r="QFB3" s="84"/>
      <c r="QFC3" s="84"/>
      <c r="QFD3" s="84"/>
      <c r="QFE3" s="84"/>
      <c r="QFF3" s="84"/>
      <c r="QFG3" s="84"/>
      <c r="QFH3" s="84"/>
      <c r="QFI3" s="84"/>
      <c r="QFJ3" s="84"/>
      <c r="QFK3" s="84"/>
      <c r="QFL3" s="84"/>
      <c r="QFM3" s="84"/>
      <c r="QFN3" s="84"/>
      <c r="QFO3" s="84"/>
      <c r="QFP3" s="84"/>
      <c r="QFQ3" s="84"/>
      <c r="QFR3" s="84"/>
      <c r="QFS3" s="84"/>
      <c r="QFT3" s="84"/>
      <c r="QFU3" s="84"/>
      <c r="QFV3" s="84"/>
      <c r="QFW3" s="84"/>
      <c r="QFX3" s="84"/>
      <c r="QFY3" s="84"/>
      <c r="QFZ3" s="84"/>
      <c r="QGA3" s="84"/>
      <c r="QGB3" s="84"/>
      <c r="QGC3" s="84"/>
      <c r="QGD3" s="84"/>
      <c r="QGE3" s="84"/>
      <c r="QGF3" s="84"/>
      <c r="QGG3" s="84"/>
      <c r="QGH3" s="84"/>
      <c r="QGI3" s="84"/>
      <c r="QGJ3" s="84"/>
      <c r="QGK3" s="84"/>
      <c r="QGL3" s="84"/>
      <c r="QGM3" s="84"/>
      <c r="QGN3" s="84"/>
      <c r="QGO3" s="84"/>
      <c r="QGP3" s="84"/>
      <c r="QGQ3" s="84"/>
      <c r="QGR3" s="84"/>
      <c r="QGS3" s="84"/>
      <c r="QGT3" s="84"/>
      <c r="QGU3" s="84"/>
      <c r="QGV3" s="84"/>
      <c r="QGW3" s="84"/>
      <c r="QGX3" s="84"/>
      <c r="QGY3" s="84"/>
      <c r="QGZ3" s="84"/>
      <c r="QHA3" s="84"/>
      <c r="QHB3" s="84"/>
      <c r="QHC3" s="84"/>
      <c r="QHD3" s="84"/>
      <c r="QHE3" s="84"/>
      <c r="QHF3" s="84"/>
      <c r="QHG3" s="84"/>
      <c r="QHH3" s="84"/>
      <c r="QHI3" s="84"/>
      <c r="QHJ3" s="84"/>
      <c r="QHK3" s="84"/>
      <c r="QHL3" s="84"/>
      <c r="QHM3" s="84"/>
      <c r="QHN3" s="84"/>
      <c r="QHO3" s="84"/>
      <c r="QHP3" s="84"/>
      <c r="QHQ3" s="84"/>
      <c r="QHR3" s="84"/>
      <c r="QHS3" s="84"/>
      <c r="QHT3" s="84"/>
      <c r="QHU3" s="84"/>
      <c r="QHV3" s="84"/>
      <c r="QHW3" s="84"/>
      <c r="QHX3" s="84"/>
      <c r="QHY3" s="84"/>
      <c r="QHZ3" s="84"/>
      <c r="QIA3" s="84"/>
      <c r="QIB3" s="84"/>
      <c r="QIC3" s="84"/>
      <c r="QID3" s="84"/>
      <c r="QIE3" s="84"/>
      <c r="QIF3" s="84"/>
      <c r="QIG3" s="84"/>
      <c r="QIH3" s="84"/>
      <c r="QII3" s="84"/>
      <c r="QIJ3" s="84"/>
      <c r="QIK3" s="84"/>
      <c r="QIL3" s="84"/>
      <c r="QIM3" s="84"/>
      <c r="QIN3" s="84"/>
      <c r="QIO3" s="84"/>
      <c r="QIP3" s="84"/>
      <c r="QIQ3" s="84"/>
      <c r="QIR3" s="84"/>
      <c r="QIS3" s="84"/>
      <c r="QIT3" s="84"/>
      <c r="QIU3" s="84"/>
      <c r="QIV3" s="84"/>
      <c r="QIW3" s="84"/>
      <c r="QIX3" s="84"/>
      <c r="QIY3" s="84"/>
      <c r="QIZ3" s="84"/>
      <c r="QJA3" s="84"/>
      <c r="QJB3" s="84"/>
      <c r="QJC3" s="84"/>
      <c r="QJD3" s="84"/>
      <c r="QJE3" s="84"/>
      <c r="QJF3" s="84"/>
      <c r="QJG3" s="84"/>
      <c r="QJH3" s="84"/>
      <c r="QJI3" s="84"/>
      <c r="QJJ3" s="84"/>
      <c r="QJK3" s="84"/>
      <c r="QJL3" s="84"/>
      <c r="QJM3" s="84"/>
      <c r="QJN3" s="84"/>
      <c r="QJO3" s="84"/>
      <c r="QJP3" s="84"/>
      <c r="QJQ3" s="84"/>
      <c r="QJR3" s="84"/>
      <c r="QJS3" s="84"/>
      <c r="QJT3" s="84"/>
      <c r="QJU3" s="84"/>
      <c r="QJV3" s="84"/>
      <c r="QJW3" s="84"/>
      <c r="QJX3" s="84"/>
      <c r="QJY3" s="84"/>
      <c r="QJZ3" s="84"/>
      <c r="QKA3" s="84"/>
      <c r="QKB3" s="84"/>
      <c r="QKC3" s="84"/>
      <c r="QKD3" s="84"/>
      <c r="QKE3" s="84"/>
      <c r="QKF3" s="84"/>
      <c r="QKG3" s="84"/>
      <c r="QKH3" s="84"/>
      <c r="QKI3" s="84"/>
      <c r="QKJ3" s="84"/>
      <c r="QKK3" s="84"/>
      <c r="QKL3" s="84"/>
      <c r="QKM3" s="84"/>
      <c r="QKN3" s="84"/>
      <c r="QKO3" s="84"/>
      <c r="QKP3" s="84"/>
      <c r="QKQ3" s="84"/>
      <c r="QKR3" s="84"/>
      <c r="QKS3" s="84"/>
      <c r="QKT3" s="84"/>
      <c r="QKU3" s="84"/>
      <c r="QKV3" s="84"/>
      <c r="QKW3" s="84"/>
      <c r="QKX3" s="84"/>
      <c r="QKY3" s="84"/>
      <c r="QKZ3" s="84"/>
      <c r="QLA3" s="84"/>
      <c r="QLB3" s="84"/>
      <c r="QLC3" s="84"/>
      <c r="QLD3" s="84"/>
      <c r="QLE3" s="84"/>
      <c r="QLF3" s="84"/>
      <c r="QLG3" s="84"/>
      <c r="QLH3" s="84"/>
      <c r="QLI3" s="84"/>
      <c r="QLJ3" s="84"/>
      <c r="QLK3" s="84"/>
      <c r="QLL3" s="84"/>
      <c r="QLM3" s="84"/>
      <c r="QLN3" s="84"/>
      <c r="QLO3" s="84"/>
      <c r="QLP3" s="84"/>
      <c r="QLQ3" s="84"/>
      <c r="QLR3" s="84"/>
      <c r="QLS3" s="84"/>
      <c r="QLT3" s="84"/>
      <c r="QLU3" s="84"/>
      <c r="QLV3" s="84"/>
      <c r="QLW3" s="84"/>
      <c r="QLX3" s="84"/>
      <c r="QLY3" s="84"/>
      <c r="QLZ3" s="84"/>
      <c r="QMA3" s="84"/>
      <c r="QMB3" s="84"/>
      <c r="QMC3" s="84"/>
      <c r="QMD3" s="84"/>
      <c r="QME3" s="84"/>
      <c r="QMF3" s="84"/>
      <c r="QMG3" s="84"/>
      <c r="QMH3" s="84"/>
      <c r="QMI3" s="84"/>
      <c r="QMJ3" s="84"/>
      <c r="QMK3" s="84"/>
      <c r="QML3" s="84"/>
      <c r="QMM3" s="84"/>
      <c r="QMN3" s="84"/>
      <c r="QMO3" s="84"/>
      <c r="QMP3" s="84"/>
      <c r="QMQ3" s="84"/>
      <c r="QMR3" s="84"/>
      <c r="QMS3" s="84"/>
      <c r="QMT3" s="84"/>
      <c r="QMU3" s="84"/>
      <c r="QMV3" s="84"/>
      <c r="QMW3" s="84"/>
      <c r="QMX3" s="84"/>
      <c r="QMY3" s="84"/>
      <c r="QMZ3" s="84"/>
      <c r="QNA3" s="84"/>
      <c r="QNB3" s="84"/>
      <c r="QNC3" s="84"/>
      <c r="QND3" s="84"/>
      <c r="QNE3" s="84"/>
      <c r="QNF3" s="84"/>
      <c r="QNG3" s="84"/>
      <c r="QNH3" s="84"/>
      <c r="QNI3" s="84"/>
      <c r="QNJ3" s="84"/>
      <c r="QNK3" s="84"/>
      <c r="QNL3" s="84"/>
      <c r="QNM3" s="84"/>
      <c r="QNN3" s="84"/>
      <c r="QNO3" s="84"/>
      <c r="QNP3" s="84"/>
      <c r="QNQ3" s="84"/>
      <c r="QNR3" s="84"/>
      <c r="QNS3" s="84"/>
      <c r="QNT3" s="84"/>
      <c r="QNU3" s="84"/>
      <c r="QNV3" s="84"/>
      <c r="QNW3" s="84"/>
      <c r="QNX3" s="84"/>
      <c r="QNY3" s="84"/>
      <c r="QNZ3" s="84"/>
      <c r="QOA3" s="84"/>
      <c r="QOB3" s="84"/>
      <c r="QOC3" s="84"/>
      <c r="QOD3" s="84"/>
      <c r="QOE3" s="84"/>
      <c r="QOF3" s="84"/>
      <c r="QOG3" s="84"/>
      <c r="QOH3" s="84"/>
      <c r="QOI3" s="84"/>
      <c r="QOJ3" s="84"/>
      <c r="QOK3" s="84"/>
      <c r="QOL3" s="84"/>
      <c r="QOM3" s="84"/>
      <c r="QON3" s="84"/>
      <c r="QOO3" s="84"/>
      <c r="QOP3" s="84"/>
      <c r="QOQ3" s="84"/>
      <c r="QOR3" s="84"/>
      <c r="QOS3" s="84"/>
      <c r="QOT3" s="84"/>
      <c r="QOU3" s="84"/>
      <c r="QOV3" s="84"/>
      <c r="QOW3" s="84"/>
      <c r="QOX3" s="84"/>
      <c r="QOY3" s="84"/>
      <c r="QOZ3" s="84"/>
      <c r="QPA3" s="84"/>
      <c r="QPB3" s="84"/>
      <c r="QPC3" s="84"/>
      <c r="QPD3" s="84"/>
      <c r="QPE3" s="84"/>
      <c r="QPF3" s="84"/>
      <c r="QPG3" s="84"/>
      <c r="QPH3" s="84"/>
      <c r="QPI3" s="84"/>
      <c r="QPJ3" s="84"/>
      <c r="QPK3" s="84"/>
      <c r="QPL3" s="84"/>
      <c r="QPM3" s="84"/>
      <c r="QPN3" s="84"/>
      <c r="QPO3" s="84"/>
      <c r="QPP3" s="84"/>
      <c r="QPQ3" s="84"/>
      <c r="QPR3" s="84"/>
      <c r="QPS3" s="84"/>
      <c r="QPT3" s="84"/>
      <c r="QPU3" s="84"/>
      <c r="QPV3" s="84"/>
      <c r="QPW3" s="84"/>
      <c r="QPX3" s="84"/>
      <c r="QPY3" s="84"/>
      <c r="QPZ3" s="84"/>
      <c r="QQA3" s="84"/>
      <c r="QQB3" s="84"/>
      <c r="QQC3" s="84"/>
      <c r="QQD3" s="84"/>
      <c r="QQE3" s="84"/>
      <c r="QQF3" s="84"/>
      <c r="QQG3" s="84"/>
      <c r="QQH3" s="84"/>
      <c r="QQI3" s="84"/>
      <c r="QQJ3" s="84"/>
      <c r="QQK3" s="84"/>
      <c r="QQL3" s="84"/>
      <c r="QQM3" s="84"/>
      <c r="QQN3" s="84"/>
      <c r="QQO3" s="84"/>
      <c r="QQP3" s="84"/>
      <c r="QQQ3" s="84"/>
      <c r="QQR3" s="84"/>
      <c r="QQS3" s="84"/>
      <c r="QQT3" s="84"/>
      <c r="QQU3" s="84"/>
      <c r="QQV3" s="84"/>
      <c r="QQW3" s="84"/>
      <c r="QQX3" s="84"/>
      <c r="QQY3" s="84"/>
      <c r="QQZ3" s="84"/>
      <c r="QRA3" s="84"/>
      <c r="QRB3" s="84"/>
      <c r="QRC3" s="84"/>
      <c r="QRD3" s="84"/>
      <c r="QRE3" s="84"/>
      <c r="QRF3" s="84"/>
      <c r="QRG3" s="84"/>
      <c r="QRH3" s="84"/>
      <c r="QRI3" s="84"/>
      <c r="QRJ3" s="84"/>
      <c r="QRK3" s="84"/>
      <c r="QRL3" s="84"/>
      <c r="QRM3" s="84"/>
      <c r="QRN3" s="84"/>
      <c r="QRO3" s="84"/>
      <c r="QRP3" s="84"/>
      <c r="QRQ3" s="84"/>
      <c r="QRR3" s="84"/>
      <c r="QRS3" s="84"/>
      <c r="QRT3" s="84"/>
      <c r="QRU3" s="84"/>
      <c r="QRV3" s="84"/>
      <c r="QRW3" s="84"/>
      <c r="QRX3" s="84"/>
      <c r="QRY3" s="84"/>
      <c r="QRZ3" s="84"/>
      <c r="QSA3" s="84"/>
      <c r="QSB3" s="84"/>
      <c r="QSC3" s="84"/>
      <c r="QSD3" s="84"/>
      <c r="QSE3" s="84"/>
      <c r="QSF3" s="84"/>
      <c r="QSG3" s="84"/>
      <c r="QSH3" s="84"/>
      <c r="QSI3" s="84"/>
      <c r="QSJ3" s="84"/>
      <c r="QSK3" s="84"/>
      <c r="QSL3" s="84"/>
      <c r="QSM3" s="84"/>
      <c r="QSN3" s="84"/>
      <c r="QSO3" s="84"/>
      <c r="QSP3" s="84"/>
      <c r="QSQ3" s="84"/>
      <c r="QSR3" s="84"/>
      <c r="QSS3" s="84"/>
      <c r="QST3" s="84"/>
      <c r="QSU3" s="84"/>
      <c r="QSV3" s="84"/>
      <c r="QSW3" s="84"/>
      <c r="QSX3" s="84"/>
      <c r="QSY3" s="84"/>
      <c r="QSZ3" s="84"/>
      <c r="QTA3" s="84"/>
      <c r="QTB3" s="84"/>
      <c r="QTC3" s="84"/>
      <c r="QTD3" s="84"/>
      <c r="QTE3" s="84"/>
      <c r="QTF3" s="84"/>
      <c r="QTG3" s="84"/>
      <c r="QTH3" s="84"/>
      <c r="QTI3" s="84"/>
      <c r="QTJ3" s="84"/>
      <c r="QTK3" s="84"/>
      <c r="QTL3" s="84"/>
      <c r="QTM3" s="84"/>
      <c r="QTN3" s="84"/>
      <c r="QTO3" s="84"/>
      <c r="QTP3" s="84"/>
      <c r="QTQ3" s="84"/>
      <c r="QTR3" s="84"/>
      <c r="QTS3" s="84"/>
      <c r="QTT3" s="84"/>
      <c r="QTU3" s="84"/>
      <c r="QTV3" s="84"/>
      <c r="QTW3" s="84"/>
      <c r="QTX3" s="84"/>
      <c r="QTY3" s="84"/>
      <c r="QTZ3" s="84"/>
      <c r="QUA3" s="84"/>
      <c r="QUB3" s="84"/>
      <c r="QUC3" s="84"/>
      <c r="QUD3" s="84"/>
      <c r="QUE3" s="84"/>
      <c r="QUF3" s="84"/>
      <c r="QUG3" s="84"/>
      <c r="QUH3" s="84"/>
      <c r="QUI3" s="84"/>
      <c r="QUJ3" s="84"/>
      <c r="QUK3" s="84"/>
      <c r="QUL3" s="84"/>
      <c r="QUM3" s="84"/>
      <c r="QUN3" s="84"/>
      <c r="QUO3" s="84"/>
      <c r="QUP3" s="84"/>
      <c r="QUQ3" s="84"/>
      <c r="QUR3" s="84"/>
      <c r="QUS3" s="84"/>
      <c r="QUT3" s="84"/>
      <c r="QUU3" s="84"/>
      <c r="QUV3" s="84"/>
      <c r="QUW3" s="84"/>
      <c r="QUX3" s="84"/>
      <c r="QUY3" s="84"/>
      <c r="QUZ3" s="84"/>
      <c r="QVA3" s="84"/>
      <c r="QVB3" s="84"/>
      <c r="QVC3" s="84"/>
      <c r="QVD3" s="84"/>
      <c r="QVE3" s="84"/>
      <c r="QVF3" s="84"/>
      <c r="QVG3" s="84"/>
      <c r="QVH3" s="84"/>
      <c r="QVI3" s="84"/>
      <c r="QVJ3" s="84"/>
      <c r="QVK3" s="84"/>
      <c r="QVL3" s="84"/>
      <c r="QVM3" s="84"/>
      <c r="QVN3" s="84"/>
      <c r="QVO3" s="84"/>
      <c r="QVP3" s="84"/>
      <c r="QVQ3" s="84"/>
      <c r="QVR3" s="84"/>
      <c r="QVS3" s="84"/>
      <c r="QVT3" s="84"/>
      <c r="QVU3" s="84"/>
      <c r="QVV3" s="84"/>
      <c r="QVW3" s="84"/>
      <c r="QVX3" s="84"/>
      <c r="QVY3" s="84"/>
      <c r="QVZ3" s="84"/>
      <c r="QWA3" s="84"/>
      <c r="QWB3" s="84"/>
      <c r="QWC3" s="84"/>
      <c r="QWD3" s="84"/>
      <c r="QWE3" s="84"/>
      <c r="QWF3" s="84"/>
      <c r="QWG3" s="84"/>
      <c r="QWH3" s="84"/>
      <c r="QWI3" s="84"/>
      <c r="QWJ3" s="84"/>
      <c r="QWK3" s="84"/>
      <c r="QWL3" s="84"/>
      <c r="QWM3" s="84"/>
      <c r="QWN3" s="84"/>
      <c r="QWO3" s="84"/>
      <c r="QWP3" s="84"/>
      <c r="QWQ3" s="84"/>
      <c r="QWR3" s="84"/>
      <c r="QWS3" s="84"/>
      <c r="QWT3" s="84"/>
      <c r="QWU3" s="84"/>
      <c r="QWV3" s="84"/>
      <c r="QWW3" s="84"/>
      <c r="QWX3" s="84"/>
      <c r="QWY3" s="84"/>
      <c r="QWZ3" s="84"/>
      <c r="QXA3" s="84"/>
      <c r="QXB3" s="84"/>
      <c r="QXC3" s="84"/>
      <c r="QXD3" s="84"/>
      <c r="QXE3" s="84"/>
      <c r="QXF3" s="84"/>
      <c r="QXG3" s="84"/>
      <c r="QXH3" s="84"/>
      <c r="QXI3" s="84"/>
      <c r="QXJ3" s="84"/>
      <c r="QXK3" s="84"/>
      <c r="QXL3" s="84"/>
      <c r="QXM3" s="84"/>
      <c r="QXN3" s="84"/>
      <c r="QXO3" s="84"/>
      <c r="QXP3" s="84"/>
      <c r="QXQ3" s="84"/>
      <c r="QXR3" s="84"/>
      <c r="QXS3" s="84"/>
      <c r="QXT3" s="84"/>
      <c r="QXU3" s="84"/>
      <c r="QXV3" s="84"/>
      <c r="QXW3" s="84"/>
      <c r="QXX3" s="84"/>
      <c r="QXY3" s="84"/>
      <c r="QXZ3" s="84"/>
      <c r="QYA3" s="84"/>
      <c r="QYB3" s="84"/>
      <c r="QYC3" s="84"/>
      <c r="QYD3" s="84"/>
      <c r="QYE3" s="84"/>
      <c r="QYF3" s="84"/>
      <c r="QYG3" s="84"/>
      <c r="QYH3" s="84"/>
      <c r="QYI3" s="84"/>
      <c r="QYJ3" s="84"/>
      <c r="QYK3" s="84"/>
      <c r="QYL3" s="84"/>
      <c r="QYM3" s="84"/>
      <c r="QYN3" s="84"/>
      <c r="QYO3" s="84"/>
      <c r="QYP3" s="84"/>
      <c r="QYQ3" s="84"/>
      <c r="QYR3" s="84"/>
      <c r="QYS3" s="84"/>
      <c r="QYT3" s="84"/>
      <c r="QYU3" s="84"/>
      <c r="QYV3" s="84"/>
      <c r="QYW3" s="84"/>
      <c r="QYX3" s="84"/>
      <c r="QYY3" s="84"/>
      <c r="QYZ3" s="84"/>
      <c r="QZA3" s="84"/>
      <c r="QZB3" s="84"/>
      <c r="QZC3" s="84"/>
      <c r="QZD3" s="84"/>
      <c r="QZE3" s="84"/>
      <c r="QZF3" s="84"/>
      <c r="QZG3" s="84"/>
      <c r="QZH3" s="84"/>
      <c r="QZI3" s="84"/>
      <c r="QZJ3" s="84"/>
      <c r="QZK3" s="84"/>
      <c r="QZL3" s="84"/>
      <c r="QZM3" s="84"/>
      <c r="QZN3" s="84"/>
      <c r="QZO3" s="84"/>
      <c r="QZP3" s="84"/>
      <c r="QZQ3" s="84"/>
      <c r="QZR3" s="84"/>
      <c r="QZS3" s="84"/>
      <c r="QZT3" s="84"/>
      <c r="QZU3" s="84"/>
      <c r="QZV3" s="84"/>
      <c r="QZW3" s="84"/>
      <c r="QZX3" s="84"/>
      <c r="QZY3" s="84"/>
      <c r="QZZ3" s="84"/>
      <c r="RAA3" s="84"/>
      <c r="RAB3" s="84"/>
      <c r="RAC3" s="84"/>
      <c r="RAD3" s="84"/>
      <c r="RAE3" s="84"/>
      <c r="RAF3" s="84"/>
      <c r="RAG3" s="84"/>
      <c r="RAH3" s="84"/>
      <c r="RAI3" s="84"/>
      <c r="RAJ3" s="84"/>
      <c r="RAK3" s="84"/>
      <c r="RAL3" s="84"/>
      <c r="RAM3" s="84"/>
      <c r="RAN3" s="84"/>
      <c r="RAO3" s="84"/>
      <c r="RAP3" s="84"/>
      <c r="RAQ3" s="84"/>
      <c r="RAR3" s="84"/>
      <c r="RAS3" s="84"/>
      <c r="RAT3" s="84"/>
      <c r="RAU3" s="84"/>
      <c r="RAV3" s="84"/>
      <c r="RAW3" s="84"/>
      <c r="RAX3" s="84"/>
      <c r="RAY3" s="84"/>
      <c r="RAZ3" s="84"/>
      <c r="RBA3" s="84"/>
      <c r="RBB3" s="84"/>
      <c r="RBC3" s="84"/>
      <c r="RBD3" s="84"/>
      <c r="RBE3" s="84"/>
      <c r="RBF3" s="84"/>
      <c r="RBG3" s="84"/>
      <c r="RBH3" s="84"/>
      <c r="RBI3" s="84"/>
      <c r="RBJ3" s="84"/>
      <c r="RBK3" s="84"/>
      <c r="RBL3" s="84"/>
      <c r="RBM3" s="84"/>
      <c r="RBN3" s="84"/>
      <c r="RBO3" s="84"/>
      <c r="RBP3" s="84"/>
      <c r="RBQ3" s="84"/>
      <c r="RBR3" s="84"/>
      <c r="RBS3" s="84"/>
      <c r="RBT3" s="84"/>
      <c r="RBU3" s="84"/>
      <c r="RBV3" s="84"/>
      <c r="RBW3" s="84"/>
      <c r="RBX3" s="84"/>
      <c r="RBY3" s="84"/>
      <c r="RBZ3" s="84"/>
      <c r="RCA3" s="84"/>
      <c r="RCB3" s="84"/>
      <c r="RCC3" s="84"/>
      <c r="RCD3" s="84"/>
      <c r="RCE3" s="84"/>
      <c r="RCF3" s="84"/>
      <c r="RCG3" s="84"/>
      <c r="RCH3" s="84"/>
      <c r="RCI3" s="84"/>
      <c r="RCJ3" s="84"/>
      <c r="RCK3" s="84"/>
      <c r="RCL3" s="84"/>
      <c r="RCM3" s="84"/>
      <c r="RCN3" s="84"/>
      <c r="RCO3" s="84"/>
      <c r="RCP3" s="84"/>
      <c r="RCQ3" s="84"/>
      <c r="RCR3" s="84"/>
      <c r="RCS3" s="84"/>
      <c r="RCT3" s="84"/>
      <c r="RCU3" s="84"/>
      <c r="RCV3" s="84"/>
      <c r="RCW3" s="84"/>
      <c r="RCX3" s="84"/>
      <c r="RCY3" s="84"/>
      <c r="RCZ3" s="84"/>
      <c r="RDA3" s="84"/>
      <c r="RDB3" s="84"/>
      <c r="RDC3" s="84"/>
      <c r="RDD3" s="84"/>
      <c r="RDE3" s="84"/>
      <c r="RDF3" s="84"/>
      <c r="RDG3" s="84"/>
      <c r="RDH3" s="84"/>
      <c r="RDI3" s="84"/>
      <c r="RDJ3" s="84"/>
      <c r="RDK3" s="84"/>
      <c r="RDL3" s="84"/>
      <c r="RDM3" s="84"/>
      <c r="RDN3" s="84"/>
      <c r="RDO3" s="84"/>
      <c r="RDP3" s="84"/>
      <c r="RDQ3" s="84"/>
      <c r="RDR3" s="84"/>
      <c r="RDS3" s="84"/>
      <c r="RDT3" s="84"/>
      <c r="RDU3" s="84"/>
      <c r="RDV3" s="84"/>
      <c r="RDW3" s="84"/>
      <c r="RDX3" s="84"/>
      <c r="RDY3" s="84"/>
      <c r="RDZ3" s="84"/>
      <c r="REA3" s="84"/>
      <c r="REB3" s="84"/>
      <c r="REC3" s="84"/>
      <c r="RED3" s="84"/>
      <c r="REE3" s="84"/>
      <c r="REF3" s="84"/>
      <c r="REG3" s="84"/>
      <c r="REH3" s="84"/>
      <c r="REI3" s="84"/>
      <c r="REJ3" s="84"/>
      <c r="REK3" s="84"/>
      <c r="REL3" s="84"/>
      <c r="REM3" s="84"/>
      <c r="REN3" s="84"/>
      <c r="REO3" s="84"/>
      <c r="REP3" s="84"/>
      <c r="REQ3" s="84"/>
      <c r="RER3" s="84"/>
      <c r="RES3" s="84"/>
      <c r="RET3" s="84"/>
      <c r="REU3" s="84"/>
      <c r="REV3" s="84"/>
      <c r="REW3" s="84"/>
      <c r="REX3" s="84"/>
      <c r="REY3" s="84"/>
      <c r="REZ3" s="84"/>
      <c r="RFA3" s="84"/>
      <c r="RFB3" s="84"/>
      <c r="RFC3" s="84"/>
      <c r="RFD3" s="84"/>
      <c r="RFE3" s="84"/>
      <c r="RFF3" s="84"/>
      <c r="RFG3" s="84"/>
      <c r="RFH3" s="84"/>
      <c r="RFI3" s="84"/>
      <c r="RFJ3" s="84"/>
      <c r="RFK3" s="84"/>
      <c r="RFL3" s="84"/>
      <c r="RFM3" s="84"/>
      <c r="RFN3" s="84"/>
      <c r="RFO3" s="84"/>
      <c r="RFP3" s="84"/>
      <c r="RFQ3" s="84"/>
      <c r="RFR3" s="84"/>
      <c r="RFS3" s="84"/>
      <c r="RFT3" s="84"/>
      <c r="RFU3" s="84"/>
      <c r="RFV3" s="84"/>
      <c r="RFW3" s="84"/>
      <c r="RFX3" s="84"/>
      <c r="RFY3" s="84"/>
      <c r="RFZ3" s="84"/>
      <c r="RGA3" s="84"/>
      <c r="RGB3" s="84"/>
      <c r="RGC3" s="84"/>
      <c r="RGD3" s="84"/>
      <c r="RGE3" s="84"/>
      <c r="RGF3" s="84"/>
      <c r="RGG3" s="84"/>
      <c r="RGH3" s="84"/>
      <c r="RGI3" s="84"/>
      <c r="RGJ3" s="84"/>
      <c r="RGK3" s="84"/>
      <c r="RGL3" s="84"/>
      <c r="RGM3" s="84"/>
      <c r="RGN3" s="84"/>
      <c r="RGO3" s="84"/>
      <c r="RGP3" s="84"/>
      <c r="RGQ3" s="84"/>
      <c r="RGR3" s="84"/>
      <c r="RGS3" s="84"/>
      <c r="RGT3" s="84"/>
      <c r="RGU3" s="84"/>
      <c r="RGV3" s="84"/>
      <c r="RGW3" s="84"/>
      <c r="RGX3" s="84"/>
      <c r="RGY3" s="84"/>
      <c r="RGZ3" s="84"/>
      <c r="RHA3" s="84"/>
      <c r="RHB3" s="84"/>
      <c r="RHC3" s="84"/>
      <c r="RHD3" s="84"/>
      <c r="RHE3" s="84"/>
      <c r="RHF3" s="84"/>
      <c r="RHG3" s="84"/>
      <c r="RHH3" s="84"/>
      <c r="RHI3" s="84"/>
      <c r="RHJ3" s="84"/>
      <c r="RHK3" s="84"/>
      <c r="RHL3" s="84"/>
      <c r="RHM3" s="84"/>
      <c r="RHN3" s="84"/>
      <c r="RHO3" s="84"/>
      <c r="RHP3" s="84"/>
      <c r="RHQ3" s="84"/>
      <c r="RHR3" s="84"/>
      <c r="RHS3" s="84"/>
      <c r="RHT3" s="84"/>
      <c r="RHU3" s="84"/>
      <c r="RHV3" s="84"/>
      <c r="RHW3" s="84"/>
      <c r="RHX3" s="84"/>
      <c r="RHY3" s="84"/>
      <c r="RHZ3" s="84"/>
      <c r="RIA3" s="84"/>
      <c r="RIB3" s="84"/>
      <c r="RIC3" s="84"/>
      <c r="RID3" s="84"/>
      <c r="RIE3" s="84"/>
      <c r="RIF3" s="84"/>
      <c r="RIG3" s="84"/>
      <c r="RIH3" s="84"/>
      <c r="RII3" s="84"/>
      <c r="RIJ3" s="84"/>
      <c r="RIK3" s="84"/>
      <c r="RIL3" s="84"/>
      <c r="RIM3" s="84"/>
      <c r="RIN3" s="84"/>
      <c r="RIO3" s="84"/>
      <c r="RIP3" s="84"/>
      <c r="RIQ3" s="84"/>
      <c r="RIR3" s="84"/>
      <c r="RIS3" s="84"/>
      <c r="RIT3" s="84"/>
      <c r="RIU3" s="84"/>
      <c r="RIV3" s="84"/>
      <c r="RIW3" s="84"/>
      <c r="RIX3" s="84"/>
      <c r="RIY3" s="84"/>
      <c r="RIZ3" s="84"/>
      <c r="RJA3" s="84"/>
      <c r="RJB3" s="84"/>
      <c r="RJC3" s="84"/>
      <c r="RJD3" s="84"/>
      <c r="RJE3" s="84"/>
      <c r="RJF3" s="84"/>
      <c r="RJG3" s="84"/>
      <c r="RJH3" s="84"/>
      <c r="RJI3" s="84"/>
      <c r="RJJ3" s="84"/>
      <c r="RJK3" s="84"/>
      <c r="RJL3" s="84"/>
      <c r="RJM3" s="84"/>
      <c r="RJN3" s="84"/>
      <c r="RJO3" s="84"/>
      <c r="RJP3" s="84"/>
      <c r="RJQ3" s="84"/>
      <c r="RJR3" s="84"/>
      <c r="RJS3" s="84"/>
      <c r="RJT3" s="84"/>
      <c r="RJU3" s="84"/>
      <c r="RJV3" s="84"/>
      <c r="RJW3" s="84"/>
      <c r="RJX3" s="84"/>
      <c r="RJY3" s="84"/>
      <c r="RJZ3" s="84"/>
      <c r="RKA3" s="84"/>
      <c r="RKB3" s="84"/>
      <c r="RKC3" s="84"/>
      <c r="RKD3" s="84"/>
      <c r="RKE3" s="84"/>
      <c r="RKF3" s="84"/>
      <c r="RKG3" s="84"/>
      <c r="RKH3" s="84"/>
      <c r="RKI3" s="84"/>
      <c r="RKJ3" s="84"/>
      <c r="RKK3" s="84"/>
      <c r="RKL3" s="84"/>
      <c r="RKM3" s="84"/>
      <c r="RKN3" s="84"/>
      <c r="RKO3" s="84"/>
      <c r="RKP3" s="84"/>
      <c r="RKQ3" s="84"/>
      <c r="RKR3" s="84"/>
      <c r="RKS3" s="84"/>
      <c r="RKT3" s="84"/>
      <c r="RKU3" s="84"/>
      <c r="RKV3" s="84"/>
      <c r="RKW3" s="84"/>
      <c r="RKX3" s="84"/>
      <c r="RKY3" s="84"/>
      <c r="RKZ3" s="84"/>
      <c r="RLA3" s="84"/>
      <c r="RLB3" s="84"/>
      <c r="RLC3" s="84"/>
      <c r="RLD3" s="84"/>
      <c r="RLE3" s="84"/>
      <c r="RLF3" s="84"/>
      <c r="RLG3" s="84"/>
      <c r="RLH3" s="84"/>
      <c r="RLI3" s="84"/>
      <c r="RLJ3" s="84"/>
      <c r="RLK3" s="84"/>
      <c r="RLL3" s="84"/>
      <c r="RLM3" s="84"/>
      <c r="RLN3" s="84"/>
      <c r="RLO3" s="84"/>
      <c r="RLP3" s="84"/>
      <c r="RLQ3" s="84"/>
      <c r="RLR3" s="84"/>
      <c r="RLS3" s="84"/>
      <c r="RLT3" s="84"/>
      <c r="RLU3" s="84"/>
      <c r="RLV3" s="84"/>
      <c r="RLW3" s="84"/>
      <c r="RLX3" s="84"/>
      <c r="RLY3" s="84"/>
      <c r="RLZ3" s="84"/>
      <c r="RMA3" s="84"/>
      <c r="RMB3" s="84"/>
      <c r="RMC3" s="84"/>
      <c r="RMD3" s="84"/>
      <c r="RME3" s="84"/>
      <c r="RMF3" s="84"/>
      <c r="RMG3" s="84"/>
      <c r="RMH3" s="84"/>
      <c r="RMI3" s="84"/>
      <c r="RMJ3" s="84"/>
      <c r="RMK3" s="84"/>
      <c r="RML3" s="84"/>
      <c r="RMM3" s="84"/>
      <c r="RMN3" s="84"/>
      <c r="RMO3" s="84"/>
      <c r="RMP3" s="84"/>
      <c r="RMQ3" s="84"/>
      <c r="RMR3" s="84"/>
      <c r="RMS3" s="84"/>
      <c r="RMT3" s="84"/>
      <c r="RMU3" s="84"/>
      <c r="RMV3" s="84"/>
      <c r="RMW3" s="84"/>
      <c r="RMX3" s="84"/>
      <c r="RMY3" s="84"/>
      <c r="RMZ3" s="84"/>
      <c r="RNA3" s="84"/>
      <c r="RNB3" s="84"/>
      <c r="RNC3" s="84"/>
      <c r="RND3" s="84"/>
      <c r="RNE3" s="84"/>
      <c r="RNF3" s="84"/>
      <c r="RNG3" s="84"/>
      <c r="RNH3" s="84"/>
      <c r="RNI3" s="84"/>
      <c r="RNJ3" s="84"/>
      <c r="RNK3" s="84"/>
      <c r="RNL3" s="84"/>
      <c r="RNM3" s="84"/>
      <c r="RNN3" s="84"/>
      <c r="RNO3" s="84"/>
      <c r="RNP3" s="84"/>
      <c r="RNQ3" s="84"/>
      <c r="RNR3" s="84"/>
      <c r="RNS3" s="84"/>
      <c r="RNT3" s="84"/>
      <c r="RNU3" s="84"/>
      <c r="RNV3" s="84"/>
      <c r="RNW3" s="84"/>
      <c r="RNX3" s="84"/>
      <c r="RNY3" s="84"/>
      <c r="RNZ3" s="84"/>
      <c r="ROA3" s="84"/>
      <c r="ROB3" s="84"/>
      <c r="ROC3" s="84"/>
      <c r="ROD3" s="84"/>
      <c r="ROE3" s="84"/>
      <c r="ROF3" s="84"/>
      <c r="ROG3" s="84"/>
      <c r="ROH3" s="84"/>
      <c r="ROI3" s="84"/>
      <c r="ROJ3" s="84"/>
      <c r="ROK3" s="84"/>
      <c r="ROL3" s="84"/>
      <c r="ROM3" s="84"/>
      <c r="RON3" s="84"/>
      <c r="ROO3" s="84"/>
      <c r="ROP3" s="84"/>
      <c r="ROQ3" s="84"/>
      <c r="ROR3" s="84"/>
      <c r="ROS3" s="84"/>
      <c r="ROT3" s="84"/>
      <c r="ROU3" s="84"/>
      <c r="ROV3" s="84"/>
      <c r="ROW3" s="84"/>
      <c r="ROX3" s="84"/>
      <c r="ROY3" s="84"/>
      <c r="ROZ3" s="84"/>
      <c r="RPA3" s="84"/>
      <c r="RPB3" s="84"/>
      <c r="RPC3" s="84"/>
      <c r="RPD3" s="84"/>
      <c r="RPE3" s="84"/>
      <c r="RPF3" s="84"/>
      <c r="RPG3" s="84"/>
      <c r="RPH3" s="84"/>
      <c r="RPI3" s="84"/>
      <c r="RPJ3" s="84"/>
      <c r="RPK3" s="84"/>
      <c r="RPL3" s="84"/>
      <c r="RPM3" s="84"/>
      <c r="RPN3" s="84"/>
      <c r="RPO3" s="84"/>
      <c r="RPP3" s="84"/>
      <c r="RPQ3" s="84"/>
      <c r="RPR3" s="84"/>
      <c r="RPS3" s="84"/>
      <c r="RPT3" s="84"/>
      <c r="RPU3" s="84"/>
      <c r="RPV3" s="84"/>
      <c r="RPW3" s="84"/>
      <c r="RPX3" s="84"/>
      <c r="RPY3" s="84"/>
      <c r="RPZ3" s="84"/>
      <c r="RQA3" s="84"/>
      <c r="RQB3" s="84"/>
      <c r="RQC3" s="84"/>
      <c r="RQD3" s="84"/>
      <c r="RQE3" s="84"/>
      <c r="RQF3" s="84"/>
      <c r="RQG3" s="84"/>
      <c r="RQH3" s="84"/>
      <c r="RQI3" s="84"/>
      <c r="RQJ3" s="84"/>
      <c r="RQK3" s="84"/>
      <c r="RQL3" s="84"/>
      <c r="RQM3" s="84"/>
      <c r="RQN3" s="84"/>
      <c r="RQO3" s="84"/>
      <c r="RQP3" s="84"/>
      <c r="RQQ3" s="84"/>
      <c r="RQR3" s="84"/>
      <c r="RQS3" s="84"/>
      <c r="RQT3" s="84"/>
      <c r="RQU3" s="84"/>
      <c r="RQV3" s="84"/>
      <c r="RQW3" s="84"/>
      <c r="RQX3" s="84"/>
      <c r="RQY3" s="84"/>
      <c r="RQZ3" s="84"/>
      <c r="RRA3" s="84"/>
      <c r="RRB3" s="84"/>
      <c r="RRC3" s="84"/>
      <c r="RRD3" s="84"/>
      <c r="RRE3" s="84"/>
      <c r="RRF3" s="84"/>
      <c r="RRG3" s="84"/>
      <c r="RRH3" s="84"/>
      <c r="RRI3" s="84"/>
      <c r="RRJ3" s="84"/>
      <c r="RRK3" s="84"/>
      <c r="RRL3" s="84"/>
      <c r="RRM3" s="84"/>
      <c r="RRN3" s="84"/>
      <c r="RRO3" s="84"/>
      <c r="RRP3" s="84"/>
      <c r="RRQ3" s="84"/>
      <c r="RRR3" s="84"/>
      <c r="RRS3" s="84"/>
      <c r="RRT3" s="84"/>
      <c r="RRU3" s="84"/>
      <c r="RRV3" s="84"/>
      <c r="RRW3" s="84"/>
      <c r="RRX3" s="84"/>
      <c r="RRY3" s="84"/>
      <c r="RRZ3" s="84"/>
      <c r="RSA3" s="84"/>
      <c r="RSB3" s="84"/>
      <c r="RSC3" s="84"/>
      <c r="RSD3" s="84"/>
      <c r="RSE3" s="84"/>
      <c r="RSF3" s="84"/>
      <c r="RSG3" s="84"/>
      <c r="RSH3" s="84"/>
      <c r="RSI3" s="84"/>
      <c r="RSJ3" s="84"/>
      <c r="RSK3" s="84"/>
      <c r="RSL3" s="84"/>
      <c r="RSM3" s="84"/>
      <c r="RSN3" s="84"/>
      <c r="RSO3" s="84"/>
      <c r="RSP3" s="84"/>
      <c r="RSQ3" s="84"/>
      <c r="RSR3" s="84"/>
      <c r="RSS3" s="84"/>
      <c r="RST3" s="84"/>
      <c r="RSU3" s="84"/>
      <c r="RSV3" s="84"/>
      <c r="RSW3" s="84"/>
      <c r="RSX3" s="84"/>
      <c r="RSY3" s="84"/>
      <c r="RSZ3" s="84"/>
      <c r="RTA3" s="84"/>
      <c r="RTB3" s="84"/>
      <c r="RTC3" s="84"/>
      <c r="RTD3" s="84"/>
      <c r="RTE3" s="84"/>
      <c r="RTF3" s="84"/>
      <c r="RTG3" s="84"/>
      <c r="RTH3" s="84"/>
      <c r="RTI3" s="84"/>
      <c r="RTJ3" s="84"/>
      <c r="RTK3" s="84"/>
      <c r="RTL3" s="84"/>
      <c r="RTM3" s="84"/>
      <c r="RTN3" s="84"/>
      <c r="RTO3" s="84"/>
      <c r="RTP3" s="84"/>
      <c r="RTQ3" s="84"/>
      <c r="RTR3" s="84"/>
      <c r="RTS3" s="84"/>
      <c r="RTT3" s="84"/>
      <c r="RTU3" s="84"/>
      <c r="RTV3" s="84"/>
      <c r="RTW3" s="84"/>
      <c r="RTX3" s="84"/>
      <c r="RTY3" s="84"/>
      <c r="RTZ3" s="84"/>
      <c r="RUA3" s="84"/>
      <c r="RUB3" s="84"/>
      <c r="RUC3" s="84"/>
      <c r="RUD3" s="84"/>
      <c r="RUE3" s="84"/>
      <c r="RUF3" s="84"/>
      <c r="RUG3" s="84"/>
      <c r="RUH3" s="84"/>
      <c r="RUI3" s="84"/>
      <c r="RUJ3" s="84"/>
      <c r="RUK3" s="84"/>
      <c r="RUL3" s="84"/>
      <c r="RUM3" s="84"/>
      <c r="RUN3" s="84"/>
      <c r="RUO3" s="84"/>
      <c r="RUP3" s="84"/>
      <c r="RUQ3" s="84"/>
      <c r="RUR3" s="84"/>
      <c r="RUS3" s="84"/>
      <c r="RUT3" s="84"/>
      <c r="RUU3" s="84"/>
      <c r="RUV3" s="84"/>
      <c r="RUW3" s="84"/>
      <c r="RUX3" s="84"/>
      <c r="RUY3" s="84"/>
      <c r="RUZ3" s="84"/>
      <c r="RVA3" s="84"/>
      <c r="RVB3" s="84"/>
      <c r="RVC3" s="84"/>
      <c r="RVD3" s="84"/>
      <c r="RVE3" s="84"/>
      <c r="RVF3" s="84"/>
      <c r="RVG3" s="84"/>
      <c r="RVH3" s="84"/>
      <c r="RVI3" s="84"/>
      <c r="RVJ3" s="84"/>
      <c r="RVK3" s="84"/>
      <c r="RVL3" s="84"/>
      <c r="RVM3" s="84"/>
      <c r="RVN3" s="84"/>
      <c r="RVO3" s="84"/>
      <c r="RVP3" s="84"/>
      <c r="RVQ3" s="84"/>
      <c r="RVR3" s="84"/>
      <c r="RVS3" s="84"/>
      <c r="RVT3" s="84"/>
      <c r="RVU3" s="84"/>
      <c r="RVV3" s="84"/>
      <c r="RVW3" s="84"/>
      <c r="RVX3" s="84"/>
      <c r="RVY3" s="84"/>
      <c r="RVZ3" s="84"/>
      <c r="RWA3" s="84"/>
      <c r="RWB3" s="84"/>
      <c r="RWC3" s="84"/>
      <c r="RWD3" s="84"/>
      <c r="RWE3" s="84"/>
      <c r="RWF3" s="84"/>
      <c r="RWG3" s="84"/>
      <c r="RWH3" s="84"/>
      <c r="RWI3" s="84"/>
      <c r="RWJ3" s="84"/>
      <c r="RWK3" s="84"/>
      <c r="RWL3" s="84"/>
      <c r="RWM3" s="84"/>
      <c r="RWN3" s="84"/>
      <c r="RWO3" s="84"/>
      <c r="RWP3" s="84"/>
      <c r="RWQ3" s="84"/>
      <c r="RWR3" s="84"/>
      <c r="RWS3" s="84"/>
      <c r="RWT3" s="84"/>
      <c r="RWU3" s="84"/>
      <c r="RWV3" s="84"/>
      <c r="RWW3" s="84"/>
      <c r="RWX3" s="84"/>
      <c r="RWY3" s="84"/>
      <c r="RWZ3" s="84"/>
      <c r="RXA3" s="84"/>
      <c r="RXB3" s="84"/>
      <c r="RXC3" s="84"/>
      <c r="RXD3" s="84"/>
      <c r="RXE3" s="84"/>
      <c r="RXF3" s="84"/>
      <c r="RXG3" s="84"/>
      <c r="RXH3" s="84"/>
      <c r="RXI3" s="84"/>
      <c r="RXJ3" s="84"/>
      <c r="RXK3" s="84"/>
      <c r="RXL3" s="84"/>
      <c r="RXM3" s="84"/>
      <c r="RXN3" s="84"/>
      <c r="RXO3" s="84"/>
      <c r="RXP3" s="84"/>
      <c r="RXQ3" s="84"/>
      <c r="RXR3" s="84"/>
      <c r="RXS3" s="84"/>
      <c r="RXT3" s="84"/>
      <c r="RXU3" s="84"/>
      <c r="RXV3" s="84"/>
      <c r="RXW3" s="84"/>
      <c r="RXX3" s="84"/>
      <c r="RXY3" s="84"/>
      <c r="RXZ3" s="84"/>
      <c r="RYA3" s="84"/>
      <c r="RYB3" s="84"/>
      <c r="RYC3" s="84"/>
      <c r="RYD3" s="84"/>
      <c r="RYE3" s="84"/>
      <c r="RYF3" s="84"/>
      <c r="RYG3" s="84"/>
      <c r="RYH3" s="84"/>
      <c r="RYI3" s="84"/>
      <c r="RYJ3" s="84"/>
      <c r="RYK3" s="84"/>
      <c r="RYL3" s="84"/>
      <c r="RYM3" s="84"/>
      <c r="RYN3" s="84"/>
      <c r="RYO3" s="84"/>
      <c r="RYP3" s="84"/>
      <c r="RYQ3" s="84"/>
      <c r="RYR3" s="84"/>
      <c r="RYS3" s="84"/>
      <c r="RYT3" s="84"/>
      <c r="RYU3" s="84"/>
      <c r="RYV3" s="84"/>
      <c r="RYW3" s="84"/>
      <c r="RYX3" s="84"/>
      <c r="RYY3" s="84"/>
      <c r="RYZ3" s="84"/>
      <c r="RZA3" s="84"/>
      <c r="RZB3" s="84"/>
      <c r="RZC3" s="84"/>
      <c r="RZD3" s="84"/>
      <c r="RZE3" s="84"/>
      <c r="RZF3" s="84"/>
      <c r="RZG3" s="84"/>
      <c r="RZH3" s="84"/>
      <c r="RZI3" s="84"/>
      <c r="RZJ3" s="84"/>
      <c r="RZK3" s="84"/>
      <c r="RZL3" s="84"/>
      <c r="RZM3" s="84"/>
      <c r="RZN3" s="84"/>
      <c r="RZO3" s="84"/>
      <c r="RZP3" s="84"/>
      <c r="RZQ3" s="84"/>
      <c r="RZR3" s="84"/>
      <c r="RZS3" s="84"/>
      <c r="RZT3" s="84"/>
      <c r="RZU3" s="84"/>
      <c r="RZV3" s="84"/>
      <c r="RZW3" s="84"/>
      <c r="RZX3" s="84"/>
      <c r="RZY3" s="84"/>
      <c r="RZZ3" s="84"/>
      <c r="SAA3" s="84"/>
      <c r="SAB3" s="84"/>
      <c r="SAC3" s="84"/>
      <c r="SAD3" s="84"/>
      <c r="SAE3" s="84"/>
      <c r="SAF3" s="84"/>
      <c r="SAG3" s="84"/>
      <c r="SAH3" s="84"/>
      <c r="SAI3" s="84"/>
      <c r="SAJ3" s="84"/>
      <c r="SAK3" s="84"/>
      <c r="SAL3" s="84"/>
      <c r="SAM3" s="84"/>
      <c r="SAN3" s="84"/>
      <c r="SAO3" s="84"/>
      <c r="SAP3" s="84"/>
      <c r="SAQ3" s="84"/>
      <c r="SAR3" s="84"/>
      <c r="SAS3" s="84"/>
      <c r="SAT3" s="84"/>
      <c r="SAU3" s="84"/>
      <c r="SAV3" s="84"/>
      <c r="SAW3" s="84"/>
      <c r="SAX3" s="84"/>
      <c r="SAY3" s="84"/>
      <c r="SAZ3" s="84"/>
      <c r="SBA3" s="84"/>
      <c r="SBB3" s="84"/>
      <c r="SBC3" s="84"/>
      <c r="SBD3" s="84"/>
      <c r="SBE3" s="84"/>
      <c r="SBF3" s="84"/>
      <c r="SBG3" s="84"/>
      <c r="SBH3" s="84"/>
      <c r="SBI3" s="84"/>
      <c r="SBJ3" s="84"/>
      <c r="SBK3" s="84"/>
      <c r="SBL3" s="84"/>
      <c r="SBM3" s="84"/>
      <c r="SBN3" s="84"/>
      <c r="SBO3" s="84"/>
      <c r="SBP3" s="84"/>
      <c r="SBQ3" s="84"/>
      <c r="SBR3" s="84"/>
      <c r="SBS3" s="84"/>
      <c r="SBT3" s="84"/>
      <c r="SBU3" s="84"/>
      <c r="SBV3" s="84"/>
      <c r="SBW3" s="84"/>
      <c r="SBX3" s="84"/>
      <c r="SBY3" s="84"/>
      <c r="SBZ3" s="84"/>
      <c r="SCA3" s="84"/>
      <c r="SCB3" s="84"/>
      <c r="SCC3" s="84"/>
      <c r="SCD3" s="84"/>
      <c r="SCE3" s="84"/>
      <c r="SCF3" s="84"/>
      <c r="SCG3" s="84"/>
      <c r="SCH3" s="84"/>
      <c r="SCI3" s="84"/>
      <c r="SCJ3" s="84"/>
      <c r="SCK3" s="84"/>
      <c r="SCL3" s="84"/>
      <c r="SCM3" s="84"/>
      <c r="SCN3" s="84"/>
      <c r="SCO3" s="84"/>
      <c r="SCP3" s="84"/>
      <c r="SCQ3" s="84"/>
      <c r="SCR3" s="84"/>
      <c r="SCS3" s="84"/>
      <c r="SCT3" s="84"/>
      <c r="SCU3" s="84"/>
      <c r="SCV3" s="84"/>
      <c r="SCW3" s="84"/>
      <c r="SCX3" s="84"/>
      <c r="SCY3" s="84"/>
      <c r="SCZ3" s="84"/>
      <c r="SDA3" s="84"/>
      <c r="SDB3" s="84"/>
      <c r="SDC3" s="84"/>
      <c r="SDD3" s="84"/>
      <c r="SDE3" s="84"/>
      <c r="SDF3" s="84"/>
      <c r="SDG3" s="84"/>
      <c r="SDH3" s="84"/>
      <c r="SDI3" s="84"/>
      <c r="SDJ3" s="84"/>
      <c r="SDK3" s="84"/>
      <c r="SDL3" s="84"/>
      <c r="SDM3" s="84"/>
      <c r="SDN3" s="84"/>
      <c r="SDO3" s="84"/>
      <c r="SDP3" s="84"/>
      <c r="SDQ3" s="84"/>
      <c r="SDR3" s="84"/>
      <c r="SDS3" s="84"/>
      <c r="SDT3" s="84"/>
      <c r="SDU3" s="84"/>
      <c r="SDV3" s="84"/>
      <c r="SDW3" s="84"/>
      <c r="SDX3" s="84"/>
      <c r="SDY3" s="84"/>
      <c r="SDZ3" s="84"/>
      <c r="SEA3" s="84"/>
      <c r="SEB3" s="84"/>
      <c r="SEC3" s="84"/>
      <c r="SED3" s="84"/>
      <c r="SEE3" s="84"/>
      <c r="SEF3" s="84"/>
      <c r="SEG3" s="84"/>
      <c r="SEH3" s="84"/>
      <c r="SEI3" s="84"/>
      <c r="SEJ3" s="84"/>
      <c r="SEK3" s="84"/>
      <c r="SEL3" s="84"/>
      <c r="SEM3" s="84"/>
      <c r="SEN3" s="84"/>
      <c r="SEO3" s="84"/>
      <c r="SEP3" s="84"/>
      <c r="SEQ3" s="84"/>
      <c r="SER3" s="84"/>
      <c r="SES3" s="84"/>
      <c r="SET3" s="84"/>
      <c r="SEU3" s="84"/>
      <c r="SEV3" s="84"/>
      <c r="SEW3" s="84"/>
      <c r="SEX3" s="84"/>
      <c r="SEY3" s="84"/>
      <c r="SEZ3" s="84"/>
      <c r="SFA3" s="84"/>
      <c r="SFB3" s="84"/>
      <c r="SFC3" s="84"/>
      <c r="SFD3" s="84"/>
      <c r="SFE3" s="84"/>
      <c r="SFF3" s="84"/>
      <c r="SFG3" s="84"/>
      <c r="SFH3" s="84"/>
      <c r="SFI3" s="84"/>
      <c r="SFJ3" s="84"/>
      <c r="SFK3" s="84"/>
      <c r="SFL3" s="84"/>
      <c r="SFM3" s="84"/>
      <c r="SFN3" s="84"/>
      <c r="SFO3" s="84"/>
      <c r="SFP3" s="84"/>
      <c r="SFQ3" s="84"/>
      <c r="SFR3" s="84"/>
      <c r="SFS3" s="84"/>
      <c r="SFT3" s="84"/>
      <c r="SFU3" s="84"/>
      <c r="SFV3" s="84"/>
      <c r="SFW3" s="84"/>
      <c r="SFX3" s="84"/>
      <c r="SFY3" s="84"/>
      <c r="SFZ3" s="84"/>
      <c r="SGA3" s="84"/>
      <c r="SGB3" s="84"/>
      <c r="SGC3" s="84"/>
      <c r="SGD3" s="84"/>
      <c r="SGE3" s="84"/>
      <c r="SGF3" s="84"/>
      <c r="SGG3" s="84"/>
      <c r="SGH3" s="84"/>
      <c r="SGI3" s="84"/>
      <c r="SGJ3" s="84"/>
      <c r="SGK3" s="84"/>
      <c r="SGL3" s="84"/>
      <c r="SGM3" s="84"/>
      <c r="SGN3" s="84"/>
      <c r="SGO3" s="84"/>
      <c r="SGP3" s="84"/>
      <c r="SGQ3" s="84"/>
      <c r="SGR3" s="84"/>
      <c r="SGS3" s="84"/>
      <c r="SGT3" s="84"/>
      <c r="SGU3" s="84"/>
      <c r="SGV3" s="84"/>
      <c r="SGW3" s="84"/>
      <c r="SGX3" s="84"/>
      <c r="SGY3" s="84"/>
      <c r="SGZ3" s="84"/>
      <c r="SHA3" s="84"/>
      <c r="SHB3" s="84"/>
      <c r="SHC3" s="84"/>
      <c r="SHD3" s="84"/>
      <c r="SHE3" s="84"/>
      <c r="SHF3" s="84"/>
      <c r="SHG3" s="84"/>
      <c r="SHH3" s="84"/>
      <c r="SHI3" s="84"/>
      <c r="SHJ3" s="84"/>
      <c r="SHK3" s="84"/>
      <c r="SHL3" s="84"/>
      <c r="SHM3" s="84"/>
      <c r="SHN3" s="84"/>
      <c r="SHO3" s="84"/>
      <c r="SHP3" s="84"/>
      <c r="SHQ3" s="84"/>
      <c r="SHR3" s="84"/>
      <c r="SHS3" s="84"/>
      <c r="SHT3" s="84"/>
      <c r="SHU3" s="84"/>
      <c r="SHV3" s="84"/>
      <c r="SHW3" s="84"/>
      <c r="SHX3" s="84"/>
      <c r="SHY3" s="84"/>
      <c r="SHZ3" s="84"/>
      <c r="SIA3" s="84"/>
      <c r="SIB3" s="84"/>
      <c r="SIC3" s="84"/>
      <c r="SID3" s="84"/>
      <c r="SIE3" s="84"/>
      <c r="SIF3" s="84"/>
      <c r="SIG3" s="84"/>
      <c r="SIH3" s="84"/>
      <c r="SII3" s="84"/>
      <c r="SIJ3" s="84"/>
      <c r="SIK3" s="84"/>
      <c r="SIL3" s="84"/>
      <c r="SIM3" s="84"/>
      <c r="SIN3" s="84"/>
      <c r="SIO3" s="84"/>
      <c r="SIP3" s="84"/>
      <c r="SIQ3" s="84"/>
      <c r="SIR3" s="84"/>
      <c r="SIS3" s="84"/>
      <c r="SIT3" s="84"/>
      <c r="SIU3" s="84"/>
      <c r="SIV3" s="84"/>
      <c r="SIW3" s="84"/>
      <c r="SIX3" s="84"/>
      <c r="SIY3" s="84"/>
      <c r="SIZ3" s="84"/>
      <c r="SJA3" s="84"/>
      <c r="SJB3" s="84"/>
      <c r="SJC3" s="84"/>
      <c r="SJD3" s="84"/>
      <c r="SJE3" s="84"/>
      <c r="SJF3" s="84"/>
      <c r="SJG3" s="84"/>
      <c r="SJH3" s="84"/>
      <c r="SJI3" s="84"/>
      <c r="SJJ3" s="84"/>
      <c r="SJK3" s="84"/>
      <c r="SJL3" s="84"/>
      <c r="SJM3" s="84"/>
      <c r="SJN3" s="84"/>
      <c r="SJO3" s="84"/>
      <c r="SJP3" s="84"/>
      <c r="SJQ3" s="84"/>
      <c r="SJR3" s="84"/>
      <c r="SJS3" s="84"/>
      <c r="SJT3" s="84"/>
      <c r="SJU3" s="84"/>
      <c r="SJV3" s="84"/>
      <c r="SJW3" s="84"/>
      <c r="SJX3" s="84"/>
      <c r="SJY3" s="84"/>
      <c r="SJZ3" s="84"/>
      <c r="SKA3" s="84"/>
      <c r="SKB3" s="84"/>
      <c r="SKC3" s="84"/>
      <c r="SKD3" s="84"/>
      <c r="SKE3" s="84"/>
      <c r="SKF3" s="84"/>
      <c r="SKG3" s="84"/>
      <c r="SKH3" s="84"/>
      <c r="SKI3" s="84"/>
      <c r="SKJ3" s="84"/>
      <c r="SKK3" s="84"/>
      <c r="SKL3" s="84"/>
      <c r="SKM3" s="84"/>
      <c r="SKN3" s="84"/>
      <c r="SKO3" s="84"/>
      <c r="SKP3" s="84"/>
      <c r="SKQ3" s="84"/>
      <c r="SKR3" s="84"/>
      <c r="SKS3" s="84"/>
      <c r="SKT3" s="84"/>
      <c r="SKU3" s="84"/>
      <c r="SKV3" s="84"/>
      <c r="SKW3" s="84"/>
      <c r="SKX3" s="84"/>
      <c r="SKY3" s="84"/>
      <c r="SKZ3" s="84"/>
      <c r="SLA3" s="84"/>
      <c r="SLB3" s="84"/>
      <c r="SLC3" s="84"/>
      <c r="SLD3" s="84"/>
      <c r="SLE3" s="84"/>
      <c r="SLF3" s="84"/>
      <c r="SLG3" s="84"/>
      <c r="SLH3" s="84"/>
      <c r="SLI3" s="84"/>
      <c r="SLJ3" s="84"/>
      <c r="SLK3" s="84"/>
      <c r="SLL3" s="84"/>
      <c r="SLM3" s="84"/>
      <c r="SLN3" s="84"/>
      <c r="SLO3" s="84"/>
      <c r="SLP3" s="84"/>
      <c r="SLQ3" s="84"/>
      <c r="SLR3" s="84"/>
      <c r="SLS3" s="84"/>
      <c r="SLT3" s="84"/>
      <c r="SLU3" s="84"/>
      <c r="SLV3" s="84"/>
      <c r="SLW3" s="84"/>
      <c r="SLX3" s="84"/>
      <c r="SLY3" s="84"/>
      <c r="SLZ3" s="84"/>
      <c r="SMA3" s="84"/>
      <c r="SMB3" s="84"/>
      <c r="SMC3" s="84"/>
      <c r="SMD3" s="84"/>
      <c r="SME3" s="84"/>
      <c r="SMF3" s="84"/>
      <c r="SMG3" s="84"/>
      <c r="SMH3" s="84"/>
      <c r="SMI3" s="84"/>
      <c r="SMJ3" s="84"/>
      <c r="SMK3" s="84"/>
      <c r="SML3" s="84"/>
      <c r="SMM3" s="84"/>
      <c r="SMN3" s="84"/>
      <c r="SMO3" s="84"/>
      <c r="SMP3" s="84"/>
      <c r="SMQ3" s="84"/>
      <c r="SMR3" s="84"/>
      <c r="SMS3" s="84"/>
      <c r="SMT3" s="84"/>
      <c r="SMU3" s="84"/>
      <c r="SMV3" s="84"/>
      <c r="SMW3" s="84"/>
      <c r="SMX3" s="84"/>
      <c r="SMY3" s="84"/>
      <c r="SMZ3" s="84"/>
      <c r="SNA3" s="84"/>
      <c r="SNB3" s="84"/>
      <c r="SNC3" s="84"/>
      <c r="SND3" s="84"/>
      <c r="SNE3" s="84"/>
      <c r="SNF3" s="84"/>
      <c r="SNG3" s="84"/>
      <c r="SNH3" s="84"/>
      <c r="SNI3" s="84"/>
      <c r="SNJ3" s="84"/>
      <c r="SNK3" s="84"/>
      <c r="SNL3" s="84"/>
      <c r="SNM3" s="84"/>
      <c r="SNN3" s="84"/>
      <c r="SNO3" s="84"/>
      <c r="SNP3" s="84"/>
      <c r="SNQ3" s="84"/>
      <c r="SNR3" s="84"/>
      <c r="SNS3" s="84"/>
      <c r="SNT3" s="84"/>
      <c r="SNU3" s="84"/>
      <c r="SNV3" s="84"/>
      <c r="SNW3" s="84"/>
      <c r="SNX3" s="84"/>
      <c r="SNY3" s="84"/>
      <c r="SNZ3" s="84"/>
      <c r="SOA3" s="84"/>
      <c r="SOB3" s="84"/>
      <c r="SOC3" s="84"/>
      <c r="SOD3" s="84"/>
      <c r="SOE3" s="84"/>
      <c r="SOF3" s="84"/>
      <c r="SOG3" s="84"/>
      <c r="SOH3" s="84"/>
      <c r="SOI3" s="84"/>
      <c r="SOJ3" s="84"/>
      <c r="SOK3" s="84"/>
      <c r="SOL3" s="84"/>
      <c r="SOM3" s="84"/>
      <c r="SON3" s="84"/>
      <c r="SOO3" s="84"/>
      <c r="SOP3" s="84"/>
      <c r="SOQ3" s="84"/>
      <c r="SOR3" s="84"/>
      <c r="SOS3" s="84"/>
      <c r="SOT3" s="84"/>
      <c r="SOU3" s="84"/>
      <c r="SOV3" s="84"/>
      <c r="SOW3" s="84"/>
      <c r="SOX3" s="84"/>
      <c r="SOY3" s="84"/>
      <c r="SOZ3" s="84"/>
      <c r="SPA3" s="84"/>
      <c r="SPB3" s="84"/>
      <c r="SPC3" s="84"/>
      <c r="SPD3" s="84"/>
      <c r="SPE3" s="84"/>
      <c r="SPF3" s="84"/>
      <c r="SPG3" s="84"/>
      <c r="SPH3" s="84"/>
      <c r="SPI3" s="84"/>
      <c r="SPJ3" s="84"/>
      <c r="SPK3" s="84"/>
      <c r="SPL3" s="84"/>
      <c r="SPM3" s="84"/>
      <c r="SPN3" s="84"/>
      <c r="SPO3" s="84"/>
      <c r="SPP3" s="84"/>
      <c r="SPQ3" s="84"/>
      <c r="SPR3" s="84"/>
      <c r="SPS3" s="84"/>
      <c r="SPT3" s="84"/>
      <c r="SPU3" s="84"/>
      <c r="SPV3" s="84"/>
      <c r="SPW3" s="84"/>
      <c r="SPX3" s="84"/>
      <c r="SPY3" s="84"/>
      <c r="SPZ3" s="84"/>
      <c r="SQA3" s="84"/>
      <c r="SQB3" s="84"/>
      <c r="SQC3" s="84"/>
      <c r="SQD3" s="84"/>
      <c r="SQE3" s="84"/>
      <c r="SQF3" s="84"/>
      <c r="SQG3" s="84"/>
      <c r="SQH3" s="84"/>
      <c r="SQI3" s="84"/>
      <c r="SQJ3" s="84"/>
      <c r="SQK3" s="84"/>
      <c r="SQL3" s="84"/>
      <c r="SQM3" s="84"/>
      <c r="SQN3" s="84"/>
      <c r="SQO3" s="84"/>
      <c r="SQP3" s="84"/>
      <c r="SQQ3" s="84"/>
      <c r="SQR3" s="84"/>
      <c r="SQS3" s="84"/>
      <c r="SQT3" s="84"/>
      <c r="SQU3" s="84"/>
      <c r="SQV3" s="84"/>
      <c r="SQW3" s="84"/>
      <c r="SQX3" s="84"/>
      <c r="SQY3" s="84"/>
      <c r="SQZ3" s="84"/>
      <c r="SRA3" s="84"/>
      <c r="SRB3" s="84"/>
      <c r="SRC3" s="84"/>
      <c r="SRD3" s="84"/>
      <c r="SRE3" s="84"/>
      <c r="SRF3" s="84"/>
      <c r="SRG3" s="84"/>
      <c r="SRH3" s="84"/>
      <c r="SRI3" s="84"/>
      <c r="SRJ3" s="84"/>
      <c r="SRK3" s="84"/>
      <c r="SRL3" s="84"/>
      <c r="SRM3" s="84"/>
      <c r="SRN3" s="84"/>
      <c r="SRO3" s="84"/>
      <c r="SRP3" s="84"/>
      <c r="SRQ3" s="84"/>
      <c r="SRR3" s="84"/>
      <c r="SRS3" s="84"/>
      <c r="SRT3" s="84"/>
      <c r="SRU3" s="84"/>
      <c r="SRV3" s="84"/>
      <c r="SRW3" s="84"/>
      <c r="SRX3" s="84"/>
      <c r="SRY3" s="84"/>
      <c r="SRZ3" s="84"/>
      <c r="SSA3" s="84"/>
      <c r="SSB3" s="84"/>
      <c r="SSC3" s="84"/>
      <c r="SSD3" s="84"/>
      <c r="SSE3" s="84"/>
      <c r="SSF3" s="84"/>
      <c r="SSG3" s="84"/>
      <c r="SSH3" s="84"/>
      <c r="SSI3" s="84"/>
      <c r="SSJ3" s="84"/>
      <c r="SSK3" s="84"/>
      <c r="SSL3" s="84"/>
      <c r="SSM3" s="84"/>
      <c r="SSN3" s="84"/>
      <c r="SSO3" s="84"/>
      <c r="SSP3" s="84"/>
      <c r="SSQ3" s="84"/>
      <c r="SSR3" s="84"/>
      <c r="SSS3" s="84"/>
      <c r="SST3" s="84"/>
      <c r="SSU3" s="84"/>
      <c r="SSV3" s="84"/>
      <c r="SSW3" s="84"/>
      <c r="SSX3" s="84"/>
      <c r="SSY3" s="84"/>
      <c r="SSZ3" s="84"/>
      <c r="STA3" s="84"/>
      <c r="STB3" s="84"/>
      <c r="STC3" s="84"/>
      <c r="STD3" s="84"/>
      <c r="STE3" s="84"/>
      <c r="STF3" s="84"/>
      <c r="STG3" s="84"/>
      <c r="STH3" s="84"/>
      <c r="STI3" s="84"/>
      <c r="STJ3" s="84"/>
      <c r="STK3" s="84"/>
      <c r="STL3" s="84"/>
      <c r="STM3" s="84"/>
      <c r="STN3" s="84"/>
      <c r="STO3" s="84"/>
      <c r="STP3" s="84"/>
      <c r="STQ3" s="84"/>
      <c r="STR3" s="84"/>
      <c r="STS3" s="84"/>
      <c r="STT3" s="84"/>
      <c r="STU3" s="84"/>
      <c r="STV3" s="84"/>
      <c r="STW3" s="84"/>
      <c r="STX3" s="84"/>
      <c r="STY3" s="84"/>
      <c r="STZ3" s="84"/>
      <c r="SUA3" s="84"/>
      <c r="SUB3" s="84"/>
      <c r="SUC3" s="84"/>
      <c r="SUD3" s="84"/>
      <c r="SUE3" s="84"/>
      <c r="SUF3" s="84"/>
      <c r="SUG3" s="84"/>
      <c r="SUH3" s="84"/>
      <c r="SUI3" s="84"/>
      <c r="SUJ3" s="84"/>
      <c r="SUK3" s="84"/>
      <c r="SUL3" s="84"/>
      <c r="SUM3" s="84"/>
      <c r="SUN3" s="84"/>
      <c r="SUO3" s="84"/>
      <c r="SUP3" s="84"/>
      <c r="SUQ3" s="84"/>
      <c r="SUR3" s="84"/>
      <c r="SUS3" s="84"/>
      <c r="SUT3" s="84"/>
      <c r="SUU3" s="84"/>
      <c r="SUV3" s="84"/>
      <c r="SUW3" s="84"/>
      <c r="SUX3" s="84"/>
      <c r="SUY3" s="84"/>
      <c r="SUZ3" s="84"/>
      <c r="SVA3" s="84"/>
      <c r="SVB3" s="84"/>
      <c r="SVC3" s="84"/>
      <c r="SVD3" s="84"/>
      <c r="SVE3" s="84"/>
      <c r="SVF3" s="84"/>
      <c r="SVG3" s="84"/>
      <c r="SVH3" s="84"/>
      <c r="SVI3" s="84"/>
      <c r="SVJ3" s="84"/>
      <c r="SVK3" s="84"/>
      <c r="SVL3" s="84"/>
      <c r="SVM3" s="84"/>
      <c r="SVN3" s="84"/>
      <c r="SVO3" s="84"/>
      <c r="SVP3" s="84"/>
      <c r="SVQ3" s="84"/>
      <c r="SVR3" s="84"/>
      <c r="SVS3" s="84"/>
      <c r="SVT3" s="84"/>
      <c r="SVU3" s="84"/>
      <c r="SVV3" s="84"/>
      <c r="SVW3" s="84"/>
      <c r="SVX3" s="84"/>
      <c r="SVY3" s="84"/>
      <c r="SVZ3" s="84"/>
      <c r="SWA3" s="84"/>
      <c r="SWB3" s="84"/>
      <c r="SWC3" s="84"/>
      <c r="SWD3" s="84"/>
      <c r="SWE3" s="84"/>
      <c r="SWF3" s="84"/>
      <c r="SWG3" s="84"/>
      <c r="SWH3" s="84"/>
      <c r="SWI3" s="84"/>
      <c r="SWJ3" s="84"/>
      <c r="SWK3" s="84"/>
      <c r="SWL3" s="84"/>
      <c r="SWM3" s="84"/>
      <c r="SWN3" s="84"/>
      <c r="SWO3" s="84"/>
      <c r="SWP3" s="84"/>
      <c r="SWQ3" s="84"/>
      <c r="SWR3" s="84"/>
      <c r="SWS3" s="84"/>
      <c r="SWT3" s="84"/>
      <c r="SWU3" s="84"/>
      <c r="SWV3" s="84"/>
      <c r="SWW3" s="84"/>
      <c r="SWX3" s="84"/>
      <c r="SWY3" s="84"/>
      <c r="SWZ3" s="84"/>
      <c r="SXA3" s="84"/>
      <c r="SXB3" s="84"/>
      <c r="SXC3" s="84"/>
      <c r="SXD3" s="84"/>
      <c r="SXE3" s="84"/>
      <c r="SXF3" s="84"/>
      <c r="SXG3" s="84"/>
      <c r="SXH3" s="84"/>
      <c r="SXI3" s="84"/>
      <c r="SXJ3" s="84"/>
      <c r="SXK3" s="84"/>
      <c r="SXL3" s="84"/>
      <c r="SXM3" s="84"/>
      <c r="SXN3" s="84"/>
      <c r="SXO3" s="84"/>
      <c r="SXP3" s="84"/>
      <c r="SXQ3" s="84"/>
      <c r="SXR3" s="84"/>
      <c r="SXS3" s="84"/>
      <c r="SXT3" s="84"/>
      <c r="SXU3" s="84"/>
      <c r="SXV3" s="84"/>
      <c r="SXW3" s="84"/>
      <c r="SXX3" s="84"/>
      <c r="SXY3" s="84"/>
      <c r="SXZ3" s="84"/>
      <c r="SYA3" s="84"/>
      <c r="SYB3" s="84"/>
      <c r="SYC3" s="84"/>
      <c r="SYD3" s="84"/>
      <c r="SYE3" s="84"/>
      <c r="SYF3" s="84"/>
      <c r="SYG3" s="84"/>
      <c r="SYH3" s="84"/>
      <c r="SYI3" s="84"/>
      <c r="SYJ3" s="84"/>
      <c r="SYK3" s="84"/>
      <c r="SYL3" s="84"/>
      <c r="SYM3" s="84"/>
      <c r="SYN3" s="84"/>
      <c r="SYO3" s="84"/>
      <c r="SYP3" s="84"/>
      <c r="SYQ3" s="84"/>
      <c r="SYR3" s="84"/>
      <c r="SYS3" s="84"/>
      <c r="SYT3" s="84"/>
      <c r="SYU3" s="84"/>
      <c r="SYV3" s="84"/>
      <c r="SYW3" s="84"/>
      <c r="SYX3" s="84"/>
      <c r="SYY3" s="84"/>
      <c r="SYZ3" s="84"/>
      <c r="SZA3" s="84"/>
      <c r="SZB3" s="84"/>
      <c r="SZC3" s="84"/>
      <c r="SZD3" s="84"/>
      <c r="SZE3" s="84"/>
      <c r="SZF3" s="84"/>
      <c r="SZG3" s="84"/>
      <c r="SZH3" s="84"/>
      <c r="SZI3" s="84"/>
      <c r="SZJ3" s="84"/>
      <c r="SZK3" s="84"/>
      <c r="SZL3" s="84"/>
      <c r="SZM3" s="84"/>
      <c r="SZN3" s="84"/>
      <c r="SZO3" s="84"/>
      <c r="SZP3" s="84"/>
      <c r="SZQ3" s="84"/>
      <c r="SZR3" s="84"/>
      <c r="SZS3" s="84"/>
      <c r="SZT3" s="84"/>
      <c r="SZU3" s="84"/>
      <c r="SZV3" s="84"/>
      <c r="SZW3" s="84"/>
      <c r="SZX3" s="84"/>
      <c r="SZY3" s="84"/>
      <c r="SZZ3" s="84"/>
      <c r="TAA3" s="84"/>
      <c r="TAB3" s="84"/>
      <c r="TAC3" s="84"/>
      <c r="TAD3" s="84"/>
      <c r="TAE3" s="84"/>
      <c r="TAF3" s="84"/>
      <c r="TAG3" s="84"/>
      <c r="TAH3" s="84"/>
      <c r="TAI3" s="84"/>
      <c r="TAJ3" s="84"/>
      <c r="TAK3" s="84"/>
      <c r="TAL3" s="84"/>
      <c r="TAM3" s="84"/>
      <c r="TAN3" s="84"/>
      <c r="TAO3" s="84"/>
      <c r="TAP3" s="84"/>
      <c r="TAQ3" s="84"/>
      <c r="TAR3" s="84"/>
      <c r="TAS3" s="84"/>
      <c r="TAT3" s="84"/>
      <c r="TAU3" s="84"/>
      <c r="TAV3" s="84"/>
      <c r="TAW3" s="84"/>
      <c r="TAX3" s="84"/>
      <c r="TAY3" s="84"/>
      <c r="TAZ3" s="84"/>
      <c r="TBA3" s="84"/>
      <c r="TBB3" s="84"/>
      <c r="TBC3" s="84"/>
      <c r="TBD3" s="84"/>
      <c r="TBE3" s="84"/>
      <c r="TBF3" s="84"/>
      <c r="TBG3" s="84"/>
      <c r="TBH3" s="84"/>
      <c r="TBI3" s="84"/>
      <c r="TBJ3" s="84"/>
      <c r="TBK3" s="84"/>
      <c r="TBL3" s="84"/>
      <c r="TBM3" s="84"/>
      <c r="TBN3" s="84"/>
      <c r="TBO3" s="84"/>
      <c r="TBP3" s="84"/>
      <c r="TBQ3" s="84"/>
      <c r="TBR3" s="84"/>
      <c r="TBS3" s="84"/>
      <c r="TBT3" s="84"/>
      <c r="TBU3" s="84"/>
      <c r="TBV3" s="84"/>
      <c r="TBW3" s="84"/>
      <c r="TBX3" s="84"/>
      <c r="TBY3" s="84"/>
      <c r="TBZ3" s="84"/>
      <c r="TCA3" s="84"/>
      <c r="TCB3" s="84"/>
      <c r="TCC3" s="84"/>
      <c r="TCD3" s="84"/>
      <c r="TCE3" s="84"/>
      <c r="TCF3" s="84"/>
      <c r="TCG3" s="84"/>
      <c r="TCH3" s="84"/>
      <c r="TCI3" s="84"/>
      <c r="TCJ3" s="84"/>
      <c r="TCK3" s="84"/>
      <c r="TCL3" s="84"/>
      <c r="TCM3" s="84"/>
      <c r="TCN3" s="84"/>
      <c r="TCO3" s="84"/>
      <c r="TCP3" s="84"/>
      <c r="TCQ3" s="84"/>
      <c r="TCR3" s="84"/>
      <c r="TCS3" s="84"/>
      <c r="TCT3" s="84"/>
      <c r="TCU3" s="84"/>
      <c r="TCV3" s="84"/>
      <c r="TCW3" s="84"/>
      <c r="TCX3" s="84"/>
      <c r="TCY3" s="84"/>
      <c r="TCZ3" s="84"/>
      <c r="TDA3" s="84"/>
      <c r="TDB3" s="84"/>
      <c r="TDC3" s="84"/>
      <c r="TDD3" s="84"/>
      <c r="TDE3" s="84"/>
      <c r="TDF3" s="84"/>
      <c r="TDG3" s="84"/>
      <c r="TDH3" s="84"/>
      <c r="TDI3" s="84"/>
      <c r="TDJ3" s="84"/>
      <c r="TDK3" s="84"/>
      <c r="TDL3" s="84"/>
      <c r="TDM3" s="84"/>
      <c r="TDN3" s="84"/>
      <c r="TDO3" s="84"/>
      <c r="TDP3" s="84"/>
      <c r="TDQ3" s="84"/>
      <c r="TDR3" s="84"/>
      <c r="TDS3" s="84"/>
      <c r="TDT3" s="84"/>
      <c r="TDU3" s="84"/>
      <c r="TDV3" s="84"/>
      <c r="TDW3" s="84"/>
      <c r="TDX3" s="84"/>
      <c r="TDY3" s="84"/>
      <c r="TDZ3" s="84"/>
      <c r="TEA3" s="84"/>
      <c r="TEB3" s="84"/>
      <c r="TEC3" s="84"/>
      <c r="TED3" s="84"/>
      <c r="TEE3" s="84"/>
      <c r="TEF3" s="84"/>
      <c r="TEG3" s="84"/>
      <c r="TEH3" s="84"/>
      <c r="TEI3" s="84"/>
      <c r="TEJ3" s="84"/>
      <c r="TEK3" s="84"/>
      <c r="TEL3" s="84"/>
      <c r="TEM3" s="84"/>
      <c r="TEN3" s="84"/>
      <c r="TEO3" s="84"/>
      <c r="TEP3" s="84"/>
      <c r="TEQ3" s="84"/>
      <c r="TER3" s="84"/>
      <c r="TES3" s="84"/>
      <c r="TET3" s="84"/>
      <c r="TEU3" s="84"/>
      <c r="TEV3" s="84"/>
      <c r="TEW3" s="84"/>
      <c r="TEX3" s="84"/>
      <c r="TEY3" s="84"/>
      <c r="TEZ3" s="84"/>
      <c r="TFA3" s="84"/>
      <c r="TFB3" s="84"/>
      <c r="TFC3" s="84"/>
      <c r="TFD3" s="84"/>
      <c r="TFE3" s="84"/>
      <c r="TFF3" s="84"/>
      <c r="TFG3" s="84"/>
      <c r="TFH3" s="84"/>
      <c r="TFI3" s="84"/>
      <c r="TFJ3" s="84"/>
      <c r="TFK3" s="84"/>
      <c r="TFL3" s="84"/>
      <c r="TFM3" s="84"/>
      <c r="TFN3" s="84"/>
      <c r="TFO3" s="84"/>
      <c r="TFP3" s="84"/>
      <c r="TFQ3" s="84"/>
      <c r="TFR3" s="84"/>
      <c r="TFS3" s="84"/>
      <c r="TFT3" s="84"/>
      <c r="TFU3" s="84"/>
      <c r="TFV3" s="84"/>
      <c r="TFW3" s="84"/>
      <c r="TFX3" s="84"/>
      <c r="TFY3" s="84"/>
      <c r="TFZ3" s="84"/>
      <c r="TGA3" s="84"/>
      <c r="TGB3" s="84"/>
      <c r="TGC3" s="84"/>
      <c r="TGD3" s="84"/>
      <c r="TGE3" s="84"/>
      <c r="TGF3" s="84"/>
      <c r="TGG3" s="84"/>
      <c r="TGH3" s="84"/>
      <c r="TGI3" s="84"/>
      <c r="TGJ3" s="84"/>
      <c r="TGK3" s="84"/>
      <c r="TGL3" s="84"/>
      <c r="TGM3" s="84"/>
      <c r="TGN3" s="84"/>
      <c r="TGO3" s="84"/>
      <c r="TGP3" s="84"/>
      <c r="TGQ3" s="84"/>
      <c r="TGR3" s="84"/>
      <c r="TGS3" s="84"/>
      <c r="TGT3" s="84"/>
      <c r="TGU3" s="84"/>
      <c r="TGV3" s="84"/>
      <c r="TGW3" s="84"/>
      <c r="TGX3" s="84"/>
      <c r="TGY3" s="84"/>
      <c r="TGZ3" s="84"/>
      <c r="THA3" s="84"/>
      <c r="THB3" s="84"/>
      <c r="THC3" s="84"/>
      <c r="THD3" s="84"/>
      <c r="THE3" s="84"/>
      <c r="THF3" s="84"/>
      <c r="THG3" s="84"/>
      <c r="THH3" s="84"/>
      <c r="THI3" s="84"/>
      <c r="THJ3" s="84"/>
      <c r="THK3" s="84"/>
      <c r="THL3" s="84"/>
      <c r="THM3" s="84"/>
      <c r="THN3" s="84"/>
      <c r="THO3" s="84"/>
      <c r="THP3" s="84"/>
      <c r="THQ3" s="84"/>
      <c r="THR3" s="84"/>
      <c r="THS3" s="84"/>
      <c r="THT3" s="84"/>
      <c r="THU3" s="84"/>
      <c r="THV3" s="84"/>
      <c r="THW3" s="84"/>
      <c r="THX3" s="84"/>
      <c r="THY3" s="84"/>
      <c r="THZ3" s="84"/>
      <c r="TIA3" s="84"/>
      <c r="TIB3" s="84"/>
      <c r="TIC3" s="84"/>
      <c r="TID3" s="84"/>
      <c r="TIE3" s="84"/>
      <c r="TIF3" s="84"/>
      <c r="TIG3" s="84"/>
      <c r="TIH3" s="84"/>
      <c r="TII3" s="84"/>
      <c r="TIJ3" s="84"/>
      <c r="TIK3" s="84"/>
      <c r="TIL3" s="84"/>
      <c r="TIM3" s="84"/>
      <c r="TIN3" s="84"/>
      <c r="TIO3" s="84"/>
      <c r="TIP3" s="84"/>
      <c r="TIQ3" s="84"/>
      <c r="TIR3" s="84"/>
      <c r="TIS3" s="84"/>
      <c r="TIT3" s="84"/>
      <c r="TIU3" s="84"/>
      <c r="TIV3" s="84"/>
      <c r="TIW3" s="84"/>
      <c r="TIX3" s="84"/>
      <c r="TIY3" s="84"/>
      <c r="TIZ3" s="84"/>
      <c r="TJA3" s="84"/>
      <c r="TJB3" s="84"/>
      <c r="TJC3" s="84"/>
      <c r="TJD3" s="84"/>
      <c r="TJE3" s="84"/>
      <c r="TJF3" s="84"/>
      <c r="TJG3" s="84"/>
      <c r="TJH3" s="84"/>
      <c r="TJI3" s="84"/>
      <c r="TJJ3" s="84"/>
      <c r="TJK3" s="84"/>
      <c r="TJL3" s="84"/>
      <c r="TJM3" s="84"/>
      <c r="TJN3" s="84"/>
      <c r="TJO3" s="84"/>
      <c r="TJP3" s="84"/>
      <c r="TJQ3" s="84"/>
      <c r="TJR3" s="84"/>
      <c r="TJS3" s="84"/>
      <c r="TJT3" s="84"/>
      <c r="TJU3" s="84"/>
      <c r="TJV3" s="84"/>
      <c r="TJW3" s="84"/>
      <c r="TJX3" s="84"/>
      <c r="TJY3" s="84"/>
      <c r="TJZ3" s="84"/>
      <c r="TKA3" s="84"/>
      <c r="TKB3" s="84"/>
      <c r="TKC3" s="84"/>
      <c r="TKD3" s="84"/>
      <c r="TKE3" s="84"/>
      <c r="TKF3" s="84"/>
      <c r="TKG3" s="84"/>
      <c r="TKH3" s="84"/>
      <c r="TKI3" s="84"/>
      <c r="TKJ3" s="84"/>
      <c r="TKK3" s="84"/>
      <c r="TKL3" s="84"/>
      <c r="TKM3" s="84"/>
      <c r="TKN3" s="84"/>
      <c r="TKO3" s="84"/>
      <c r="TKP3" s="84"/>
      <c r="TKQ3" s="84"/>
      <c r="TKR3" s="84"/>
      <c r="TKS3" s="84"/>
      <c r="TKT3" s="84"/>
      <c r="TKU3" s="84"/>
      <c r="TKV3" s="84"/>
      <c r="TKW3" s="84"/>
      <c r="TKX3" s="84"/>
      <c r="TKY3" s="84"/>
      <c r="TKZ3" s="84"/>
      <c r="TLA3" s="84"/>
      <c r="TLB3" s="84"/>
      <c r="TLC3" s="84"/>
      <c r="TLD3" s="84"/>
      <c r="TLE3" s="84"/>
      <c r="TLF3" s="84"/>
      <c r="TLG3" s="84"/>
      <c r="TLH3" s="84"/>
      <c r="TLI3" s="84"/>
      <c r="TLJ3" s="84"/>
      <c r="TLK3" s="84"/>
      <c r="TLL3" s="84"/>
      <c r="TLM3" s="84"/>
      <c r="TLN3" s="84"/>
      <c r="TLO3" s="84"/>
      <c r="TLP3" s="84"/>
      <c r="TLQ3" s="84"/>
      <c r="TLR3" s="84"/>
      <c r="TLS3" s="84"/>
      <c r="TLT3" s="84"/>
      <c r="TLU3" s="84"/>
      <c r="TLV3" s="84"/>
      <c r="TLW3" s="84"/>
      <c r="TLX3" s="84"/>
      <c r="TLY3" s="84"/>
      <c r="TLZ3" s="84"/>
      <c r="TMA3" s="84"/>
      <c r="TMB3" s="84"/>
      <c r="TMC3" s="84"/>
      <c r="TMD3" s="84"/>
      <c r="TME3" s="84"/>
      <c r="TMF3" s="84"/>
      <c r="TMG3" s="84"/>
      <c r="TMH3" s="84"/>
      <c r="TMI3" s="84"/>
      <c r="TMJ3" s="84"/>
      <c r="TMK3" s="84"/>
      <c r="TML3" s="84"/>
      <c r="TMM3" s="84"/>
      <c r="TMN3" s="84"/>
      <c r="TMO3" s="84"/>
      <c r="TMP3" s="84"/>
      <c r="TMQ3" s="84"/>
      <c r="TMR3" s="84"/>
      <c r="TMS3" s="84"/>
      <c r="TMT3" s="84"/>
      <c r="TMU3" s="84"/>
      <c r="TMV3" s="84"/>
      <c r="TMW3" s="84"/>
      <c r="TMX3" s="84"/>
      <c r="TMY3" s="84"/>
      <c r="TMZ3" s="84"/>
      <c r="TNA3" s="84"/>
      <c r="TNB3" s="84"/>
      <c r="TNC3" s="84"/>
      <c r="TND3" s="84"/>
      <c r="TNE3" s="84"/>
      <c r="TNF3" s="84"/>
      <c r="TNG3" s="84"/>
      <c r="TNH3" s="84"/>
      <c r="TNI3" s="84"/>
      <c r="TNJ3" s="84"/>
      <c r="TNK3" s="84"/>
      <c r="TNL3" s="84"/>
      <c r="TNM3" s="84"/>
      <c r="TNN3" s="84"/>
      <c r="TNO3" s="84"/>
      <c r="TNP3" s="84"/>
      <c r="TNQ3" s="84"/>
      <c r="TNR3" s="84"/>
      <c r="TNS3" s="84"/>
      <c r="TNT3" s="84"/>
      <c r="TNU3" s="84"/>
      <c r="TNV3" s="84"/>
      <c r="TNW3" s="84"/>
      <c r="TNX3" s="84"/>
      <c r="TNY3" s="84"/>
      <c r="TNZ3" s="84"/>
      <c r="TOA3" s="84"/>
      <c r="TOB3" s="84"/>
      <c r="TOC3" s="84"/>
      <c r="TOD3" s="84"/>
      <c r="TOE3" s="84"/>
      <c r="TOF3" s="84"/>
      <c r="TOG3" s="84"/>
      <c r="TOH3" s="84"/>
      <c r="TOI3" s="84"/>
      <c r="TOJ3" s="84"/>
      <c r="TOK3" s="84"/>
      <c r="TOL3" s="84"/>
      <c r="TOM3" s="84"/>
      <c r="TON3" s="84"/>
      <c r="TOO3" s="84"/>
      <c r="TOP3" s="84"/>
      <c r="TOQ3" s="84"/>
      <c r="TOR3" s="84"/>
      <c r="TOS3" s="84"/>
      <c r="TOT3" s="84"/>
      <c r="TOU3" s="84"/>
      <c r="TOV3" s="84"/>
      <c r="TOW3" s="84"/>
      <c r="TOX3" s="84"/>
      <c r="TOY3" s="84"/>
      <c r="TOZ3" s="84"/>
      <c r="TPA3" s="84"/>
      <c r="TPB3" s="84"/>
      <c r="TPC3" s="84"/>
      <c r="TPD3" s="84"/>
      <c r="TPE3" s="84"/>
      <c r="TPF3" s="84"/>
      <c r="TPG3" s="84"/>
      <c r="TPH3" s="84"/>
      <c r="TPI3" s="84"/>
      <c r="TPJ3" s="84"/>
      <c r="TPK3" s="84"/>
      <c r="TPL3" s="84"/>
      <c r="TPM3" s="84"/>
      <c r="TPN3" s="84"/>
      <c r="TPO3" s="84"/>
      <c r="TPP3" s="84"/>
      <c r="TPQ3" s="84"/>
      <c r="TPR3" s="84"/>
      <c r="TPS3" s="84"/>
      <c r="TPT3" s="84"/>
      <c r="TPU3" s="84"/>
      <c r="TPV3" s="84"/>
      <c r="TPW3" s="84"/>
      <c r="TPX3" s="84"/>
      <c r="TPY3" s="84"/>
      <c r="TPZ3" s="84"/>
      <c r="TQA3" s="84"/>
      <c r="TQB3" s="84"/>
      <c r="TQC3" s="84"/>
      <c r="TQD3" s="84"/>
      <c r="TQE3" s="84"/>
      <c r="TQF3" s="84"/>
      <c r="TQG3" s="84"/>
      <c r="TQH3" s="84"/>
      <c r="TQI3" s="84"/>
      <c r="TQJ3" s="84"/>
      <c r="TQK3" s="84"/>
      <c r="TQL3" s="84"/>
      <c r="TQM3" s="84"/>
      <c r="TQN3" s="84"/>
      <c r="TQO3" s="84"/>
      <c r="TQP3" s="84"/>
      <c r="TQQ3" s="84"/>
      <c r="TQR3" s="84"/>
      <c r="TQS3" s="84"/>
      <c r="TQT3" s="84"/>
      <c r="TQU3" s="84"/>
      <c r="TQV3" s="84"/>
      <c r="TQW3" s="84"/>
      <c r="TQX3" s="84"/>
      <c r="TQY3" s="84"/>
      <c r="TQZ3" s="84"/>
      <c r="TRA3" s="84"/>
      <c r="TRB3" s="84"/>
      <c r="TRC3" s="84"/>
      <c r="TRD3" s="84"/>
      <c r="TRE3" s="84"/>
      <c r="TRF3" s="84"/>
      <c r="TRG3" s="84"/>
      <c r="TRH3" s="84"/>
      <c r="TRI3" s="84"/>
      <c r="TRJ3" s="84"/>
      <c r="TRK3" s="84"/>
      <c r="TRL3" s="84"/>
      <c r="TRM3" s="84"/>
      <c r="TRN3" s="84"/>
      <c r="TRO3" s="84"/>
      <c r="TRP3" s="84"/>
      <c r="TRQ3" s="84"/>
      <c r="TRR3" s="84"/>
      <c r="TRS3" s="84"/>
      <c r="TRT3" s="84"/>
      <c r="TRU3" s="84"/>
      <c r="TRV3" s="84"/>
      <c r="TRW3" s="84"/>
      <c r="TRX3" s="84"/>
      <c r="TRY3" s="84"/>
      <c r="TRZ3" s="84"/>
      <c r="TSA3" s="84"/>
      <c r="TSB3" s="84"/>
      <c r="TSC3" s="84"/>
      <c r="TSD3" s="84"/>
      <c r="TSE3" s="84"/>
      <c r="TSF3" s="84"/>
      <c r="TSG3" s="84"/>
      <c r="TSH3" s="84"/>
      <c r="TSI3" s="84"/>
      <c r="TSJ3" s="84"/>
      <c r="TSK3" s="84"/>
      <c r="TSL3" s="84"/>
      <c r="TSM3" s="84"/>
      <c r="TSN3" s="84"/>
      <c r="TSO3" s="84"/>
      <c r="TSP3" s="84"/>
      <c r="TSQ3" s="84"/>
      <c r="TSR3" s="84"/>
      <c r="TSS3" s="84"/>
      <c r="TST3" s="84"/>
      <c r="TSU3" s="84"/>
      <c r="TSV3" s="84"/>
      <c r="TSW3" s="84"/>
      <c r="TSX3" s="84"/>
      <c r="TSY3" s="84"/>
      <c r="TSZ3" s="84"/>
      <c r="TTA3" s="84"/>
      <c r="TTB3" s="84"/>
      <c r="TTC3" s="84"/>
      <c r="TTD3" s="84"/>
      <c r="TTE3" s="84"/>
      <c r="TTF3" s="84"/>
      <c r="TTG3" s="84"/>
      <c r="TTH3" s="84"/>
      <c r="TTI3" s="84"/>
      <c r="TTJ3" s="84"/>
      <c r="TTK3" s="84"/>
      <c r="TTL3" s="84"/>
      <c r="TTM3" s="84"/>
      <c r="TTN3" s="84"/>
      <c r="TTO3" s="84"/>
      <c r="TTP3" s="84"/>
      <c r="TTQ3" s="84"/>
      <c r="TTR3" s="84"/>
      <c r="TTS3" s="84"/>
      <c r="TTT3" s="84"/>
      <c r="TTU3" s="84"/>
      <c r="TTV3" s="84"/>
      <c r="TTW3" s="84"/>
      <c r="TTX3" s="84"/>
      <c r="TTY3" s="84"/>
      <c r="TTZ3" s="84"/>
      <c r="TUA3" s="84"/>
      <c r="TUB3" s="84"/>
      <c r="TUC3" s="84"/>
      <c r="TUD3" s="84"/>
      <c r="TUE3" s="84"/>
      <c r="TUF3" s="84"/>
      <c r="TUG3" s="84"/>
      <c r="TUH3" s="84"/>
      <c r="TUI3" s="84"/>
      <c r="TUJ3" s="84"/>
      <c r="TUK3" s="84"/>
      <c r="TUL3" s="84"/>
      <c r="TUM3" s="84"/>
      <c r="TUN3" s="84"/>
      <c r="TUO3" s="84"/>
      <c r="TUP3" s="84"/>
      <c r="TUQ3" s="84"/>
      <c r="TUR3" s="84"/>
      <c r="TUS3" s="84"/>
      <c r="TUT3" s="84"/>
      <c r="TUU3" s="84"/>
      <c r="TUV3" s="84"/>
      <c r="TUW3" s="84"/>
      <c r="TUX3" s="84"/>
      <c r="TUY3" s="84"/>
      <c r="TUZ3" s="84"/>
      <c r="TVA3" s="84"/>
      <c r="TVB3" s="84"/>
      <c r="TVC3" s="84"/>
      <c r="TVD3" s="84"/>
      <c r="TVE3" s="84"/>
      <c r="TVF3" s="84"/>
      <c r="TVG3" s="84"/>
      <c r="TVH3" s="84"/>
      <c r="TVI3" s="84"/>
      <c r="TVJ3" s="84"/>
      <c r="TVK3" s="84"/>
      <c r="TVL3" s="84"/>
      <c r="TVM3" s="84"/>
      <c r="TVN3" s="84"/>
      <c r="TVO3" s="84"/>
      <c r="TVP3" s="84"/>
      <c r="TVQ3" s="84"/>
      <c r="TVR3" s="84"/>
      <c r="TVS3" s="84"/>
      <c r="TVT3" s="84"/>
      <c r="TVU3" s="84"/>
      <c r="TVV3" s="84"/>
      <c r="TVW3" s="84"/>
      <c r="TVX3" s="84"/>
      <c r="TVY3" s="84"/>
      <c r="TVZ3" s="84"/>
      <c r="TWA3" s="84"/>
      <c r="TWB3" s="84"/>
      <c r="TWC3" s="84"/>
      <c r="TWD3" s="84"/>
      <c r="TWE3" s="84"/>
      <c r="TWF3" s="84"/>
      <c r="TWG3" s="84"/>
      <c r="TWH3" s="84"/>
      <c r="TWI3" s="84"/>
      <c r="TWJ3" s="84"/>
      <c r="TWK3" s="84"/>
      <c r="TWL3" s="84"/>
      <c r="TWM3" s="84"/>
      <c r="TWN3" s="84"/>
      <c r="TWO3" s="84"/>
      <c r="TWP3" s="84"/>
      <c r="TWQ3" s="84"/>
      <c r="TWR3" s="84"/>
      <c r="TWS3" s="84"/>
      <c r="TWT3" s="84"/>
      <c r="TWU3" s="84"/>
      <c r="TWV3" s="84"/>
      <c r="TWW3" s="84"/>
      <c r="TWX3" s="84"/>
      <c r="TWY3" s="84"/>
      <c r="TWZ3" s="84"/>
      <c r="TXA3" s="84"/>
      <c r="TXB3" s="84"/>
      <c r="TXC3" s="84"/>
      <c r="TXD3" s="84"/>
      <c r="TXE3" s="84"/>
      <c r="TXF3" s="84"/>
      <c r="TXG3" s="84"/>
      <c r="TXH3" s="84"/>
      <c r="TXI3" s="84"/>
      <c r="TXJ3" s="84"/>
      <c r="TXK3" s="84"/>
      <c r="TXL3" s="84"/>
      <c r="TXM3" s="84"/>
      <c r="TXN3" s="84"/>
      <c r="TXO3" s="84"/>
      <c r="TXP3" s="84"/>
      <c r="TXQ3" s="84"/>
      <c r="TXR3" s="84"/>
      <c r="TXS3" s="84"/>
      <c r="TXT3" s="84"/>
      <c r="TXU3" s="84"/>
      <c r="TXV3" s="84"/>
      <c r="TXW3" s="84"/>
      <c r="TXX3" s="84"/>
      <c r="TXY3" s="84"/>
      <c r="TXZ3" s="84"/>
      <c r="TYA3" s="84"/>
      <c r="TYB3" s="84"/>
      <c r="TYC3" s="84"/>
      <c r="TYD3" s="84"/>
      <c r="TYE3" s="84"/>
      <c r="TYF3" s="84"/>
      <c r="TYG3" s="84"/>
      <c r="TYH3" s="84"/>
      <c r="TYI3" s="84"/>
      <c r="TYJ3" s="84"/>
      <c r="TYK3" s="84"/>
      <c r="TYL3" s="84"/>
      <c r="TYM3" s="84"/>
      <c r="TYN3" s="84"/>
      <c r="TYO3" s="84"/>
      <c r="TYP3" s="84"/>
      <c r="TYQ3" s="84"/>
      <c r="TYR3" s="84"/>
      <c r="TYS3" s="84"/>
      <c r="TYT3" s="84"/>
      <c r="TYU3" s="84"/>
      <c r="TYV3" s="84"/>
      <c r="TYW3" s="84"/>
      <c r="TYX3" s="84"/>
      <c r="TYY3" s="84"/>
      <c r="TYZ3" s="84"/>
      <c r="TZA3" s="84"/>
      <c r="TZB3" s="84"/>
      <c r="TZC3" s="84"/>
      <c r="TZD3" s="84"/>
      <c r="TZE3" s="84"/>
      <c r="TZF3" s="84"/>
      <c r="TZG3" s="84"/>
      <c r="TZH3" s="84"/>
      <c r="TZI3" s="84"/>
      <c r="TZJ3" s="84"/>
      <c r="TZK3" s="84"/>
      <c r="TZL3" s="84"/>
      <c r="TZM3" s="84"/>
      <c r="TZN3" s="84"/>
      <c r="TZO3" s="84"/>
      <c r="TZP3" s="84"/>
      <c r="TZQ3" s="84"/>
      <c r="TZR3" s="84"/>
      <c r="TZS3" s="84"/>
      <c r="TZT3" s="84"/>
      <c r="TZU3" s="84"/>
      <c r="TZV3" s="84"/>
      <c r="TZW3" s="84"/>
      <c r="TZX3" s="84"/>
      <c r="TZY3" s="84"/>
      <c r="TZZ3" s="84"/>
      <c r="UAA3" s="84"/>
      <c r="UAB3" s="84"/>
      <c r="UAC3" s="84"/>
      <c r="UAD3" s="84"/>
      <c r="UAE3" s="84"/>
      <c r="UAF3" s="84"/>
      <c r="UAG3" s="84"/>
      <c r="UAH3" s="84"/>
      <c r="UAI3" s="84"/>
      <c r="UAJ3" s="84"/>
      <c r="UAK3" s="84"/>
      <c r="UAL3" s="84"/>
      <c r="UAM3" s="84"/>
      <c r="UAN3" s="84"/>
      <c r="UAO3" s="84"/>
      <c r="UAP3" s="84"/>
      <c r="UAQ3" s="84"/>
      <c r="UAR3" s="84"/>
      <c r="UAS3" s="84"/>
      <c r="UAT3" s="84"/>
      <c r="UAU3" s="84"/>
      <c r="UAV3" s="84"/>
      <c r="UAW3" s="84"/>
      <c r="UAX3" s="84"/>
      <c r="UAY3" s="84"/>
      <c r="UAZ3" s="84"/>
      <c r="UBA3" s="84"/>
      <c r="UBB3" s="84"/>
      <c r="UBC3" s="84"/>
      <c r="UBD3" s="84"/>
      <c r="UBE3" s="84"/>
      <c r="UBF3" s="84"/>
      <c r="UBG3" s="84"/>
      <c r="UBH3" s="84"/>
      <c r="UBI3" s="84"/>
      <c r="UBJ3" s="84"/>
      <c r="UBK3" s="84"/>
      <c r="UBL3" s="84"/>
      <c r="UBM3" s="84"/>
      <c r="UBN3" s="84"/>
      <c r="UBO3" s="84"/>
      <c r="UBP3" s="84"/>
      <c r="UBQ3" s="84"/>
      <c r="UBR3" s="84"/>
      <c r="UBS3" s="84"/>
      <c r="UBT3" s="84"/>
      <c r="UBU3" s="84"/>
      <c r="UBV3" s="84"/>
      <c r="UBW3" s="84"/>
      <c r="UBX3" s="84"/>
      <c r="UBY3" s="84"/>
      <c r="UBZ3" s="84"/>
      <c r="UCA3" s="84"/>
      <c r="UCB3" s="84"/>
      <c r="UCC3" s="84"/>
      <c r="UCD3" s="84"/>
      <c r="UCE3" s="84"/>
      <c r="UCF3" s="84"/>
      <c r="UCG3" s="84"/>
      <c r="UCH3" s="84"/>
      <c r="UCI3" s="84"/>
      <c r="UCJ3" s="84"/>
      <c r="UCK3" s="84"/>
      <c r="UCL3" s="84"/>
      <c r="UCM3" s="84"/>
      <c r="UCN3" s="84"/>
      <c r="UCO3" s="84"/>
      <c r="UCP3" s="84"/>
      <c r="UCQ3" s="84"/>
      <c r="UCR3" s="84"/>
      <c r="UCS3" s="84"/>
      <c r="UCT3" s="84"/>
      <c r="UCU3" s="84"/>
      <c r="UCV3" s="84"/>
      <c r="UCW3" s="84"/>
      <c r="UCX3" s="84"/>
      <c r="UCY3" s="84"/>
      <c r="UCZ3" s="84"/>
      <c r="UDA3" s="84"/>
      <c r="UDB3" s="84"/>
      <c r="UDC3" s="84"/>
      <c r="UDD3" s="84"/>
      <c r="UDE3" s="84"/>
      <c r="UDF3" s="84"/>
      <c r="UDG3" s="84"/>
      <c r="UDH3" s="84"/>
      <c r="UDI3" s="84"/>
      <c r="UDJ3" s="84"/>
      <c r="UDK3" s="84"/>
      <c r="UDL3" s="84"/>
      <c r="UDM3" s="84"/>
      <c r="UDN3" s="84"/>
      <c r="UDO3" s="84"/>
      <c r="UDP3" s="84"/>
      <c r="UDQ3" s="84"/>
      <c r="UDR3" s="84"/>
      <c r="UDS3" s="84"/>
      <c r="UDT3" s="84"/>
      <c r="UDU3" s="84"/>
      <c r="UDV3" s="84"/>
      <c r="UDW3" s="84"/>
      <c r="UDX3" s="84"/>
      <c r="UDY3" s="84"/>
      <c r="UDZ3" s="84"/>
      <c r="UEA3" s="84"/>
      <c r="UEB3" s="84"/>
      <c r="UEC3" s="84"/>
      <c r="UED3" s="84"/>
      <c r="UEE3" s="84"/>
      <c r="UEF3" s="84"/>
      <c r="UEG3" s="84"/>
      <c r="UEH3" s="84"/>
      <c r="UEI3" s="84"/>
      <c r="UEJ3" s="84"/>
      <c r="UEK3" s="84"/>
      <c r="UEL3" s="84"/>
      <c r="UEM3" s="84"/>
      <c r="UEN3" s="84"/>
      <c r="UEO3" s="84"/>
      <c r="UEP3" s="84"/>
      <c r="UEQ3" s="84"/>
      <c r="UER3" s="84"/>
      <c r="UES3" s="84"/>
      <c r="UET3" s="84"/>
      <c r="UEU3" s="84"/>
      <c r="UEV3" s="84"/>
      <c r="UEW3" s="84"/>
      <c r="UEX3" s="84"/>
      <c r="UEY3" s="84"/>
      <c r="UEZ3" s="84"/>
      <c r="UFA3" s="84"/>
      <c r="UFB3" s="84"/>
      <c r="UFC3" s="84"/>
      <c r="UFD3" s="84"/>
      <c r="UFE3" s="84"/>
      <c r="UFF3" s="84"/>
      <c r="UFG3" s="84"/>
      <c r="UFH3" s="84"/>
      <c r="UFI3" s="84"/>
      <c r="UFJ3" s="84"/>
      <c r="UFK3" s="84"/>
      <c r="UFL3" s="84"/>
      <c r="UFM3" s="84"/>
      <c r="UFN3" s="84"/>
      <c r="UFO3" s="84"/>
      <c r="UFP3" s="84"/>
      <c r="UFQ3" s="84"/>
      <c r="UFR3" s="84"/>
      <c r="UFS3" s="84"/>
      <c r="UFT3" s="84"/>
      <c r="UFU3" s="84"/>
      <c r="UFV3" s="84"/>
      <c r="UFW3" s="84"/>
      <c r="UFX3" s="84"/>
      <c r="UFY3" s="84"/>
      <c r="UFZ3" s="84"/>
      <c r="UGA3" s="84"/>
      <c r="UGB3" s="84"/>
      <c r="UGC3" s="84"/>
      <c r="UGD3" s="84"/>
      <c r="UGE3" s="84"/>
      <c r="UGF3" s="84"/>
      <c r="UGG3" s="84"/>
      <c r="UGH3" s="84"/>
      <c r="UGI3" s="84"/>
      <c r="UGJ3" s="84"/>
      <c r="UGK3" s="84"/>
      <c r="UGL3" s="84"/>
      <c r="UGM3" s="84"/>
      <c r="UGN3" s="84"/>
      <c r="UGO3" s="84"/>
      <c r="UGP3" s="84"/>
      <c r="UGQ3" s="84"/>
      <c r="UGR3" s="84"/>
      <c r="UGS3" s="84"/>
      <c r="UGT3" s="84"/>
      <c r="UGU3" s="84"/>
      <c r="UGV3" s="84"/>
      <c r="UGW3" s="84"/>
      <c r="UGX3" s="84"/>
      <c r="UGY3" s="84"/>
      <c r="UGZ3" s="84"/>
      <c r="UHA3" s="84"/>
      <c r="UHB3" s="84"/>
      <c r="UHC3" s="84"/>
      <c r="UHD3" s="84"/>
      <c r="UHE3" s="84"/>
      <c r="UHF3" s="84"/>
      <c r="UHG3" s="84"/>
      <c r="UHH3" s="84"/>
      <c r="UHI3" s="84"/>
      <c r="UHJ3" s="84"/>
      <c r="UHK3" s="84"/>
      <c r="UHL3" s="84"/>
      <c r="UHM3" s="84"/>
      <c r="UHN3" s="84"/>
      <c r="UHO3" s="84"/>
      <c r="UHP3" s="84"/>
      <c r="UHQ3" s="84"/>
      <c r="UHR3" s="84"/>
      <c r="UHS3" s="84"/>
      <c r="UHT3" s="84"/>
      <c r="UHU3" s="84"/>
      <c r="UHV3" s="84"/>
      <c r="UHW3" s="84"/>
      <c r="UHX3" s="84"/>
      <c r="UHY3" s="84"/>
      <c r="UHZ3" s="84"/>
      <c r="UIA3" s="84"/>
      <c r="UIB3" s="84"/>
      <c r="UIC3" s="84"/>
      <c r="UID3" s="84"/>
      <c r="UIE3" s="84"/>
      <c r="UIF3" s="84"/>
      <c r="UIG3" s="84"/>
      <c r="UIH3" s="84"/>
      <c r="UII3" s="84"/>
      <c r="UIJ3" s="84"/>
      <c r="UIK3" s="84"/>
      <c r="UIL3" s="84"/>
      <c r="UIM3" s="84"/>
      <c r="UIN3" s="84"/>
      <c r="UIO3" s="84"/>
      <c r="UIP3" s="84"/>
      <c r="UIQ3" s="84"/>
      <c r="UIR3" s="84"/>
      <c r="UIS3" s="84"/>
      <c r="UIT3" s="84"/>
      <c r="UIU3" s="84"/>
      <c r="UIV3" s="84"/>
      <c r="UIW3" s="84"/>
      <c r="UIX3" s="84"/>
      <c r="UIY3" s="84"/>
      <c r="UIZ3" s="84"/>
      <c r="UJA3" s="84"/>
      <c r="UJB3" s="84"/>
      <c r="UJC3" s="84"/>
      <c r="UJD3" s="84"/>
      <c r="UJE3" s="84"/>
      <c r="UJF3" s="84"/>
      <c r="UJG3" s="84"/>
      <c r="UJH3" s="84"/>
      <c r="UJI3" s="84"/>
      <c r="UJJ3" s="84"/>
      <c r="UJK3" s="84"/>
      <c r="UJL3" s="84"/>
      <c r="UJM3" s="84"/>
      <c r="UJN3" s="84"/>
      <c r="UJO3" s="84"/>
      <c r="UJP3" s="84"/>
      <c r="UJQ3" s="84"/>
      <c r="UJR3" s="84"/>
      <c r="UJS3" s="84"/>
      <c r="UJT3" s="84"/>
      <c r="UJU3" s="84"/>
      <c r="UJV3" s="84"/>
      <c r="UJW3" s="84"/>
      <c r="UJX3" s="84"/>
      <c r="UJY3" s="84"/>
      <c r="UJZ3" s="84"/>
      <c r="UKA3" s="84"/>
      <c r="UKB3" s="84"/>
      <c r="UKC3" s="84"/>
      <c r="UKD3" s="84"/>
      <c r="UKE3" s="84"/>
      <c r="UKF3" s="84"/>
      <c r="UKG3" s="84"/>
      <c r="UKH3" s="84"/>
      <c r="UKI3" s="84"/>
      <c r="UKJ3" s="84"/>
      <c r="UKK3" s="84"/>
      <c r="UKL3" s="84"/>
      <c r="UKM3" s="84"/>
      <c r="UKN3" s="84"/>
      <c r="UKO3" s="84"/>
      <c r="UKP3" s="84"/>
      <c r="UKQ3" s="84"/>
      <c r="UKR3" s="84"/>
      <c r="UKS3" s="84"/>
      <c r="UKT3" s="84"/>
      <c r="UKU3" s="84"/>
      <c r="UKV3" s="84"/>
      <c r="UKW3" s="84"/>
      <c r="UKX3" s="84"/>
      <c r="UKY3" s="84"/>
      <c r="UKZ3" s="84"/>
      <c r="ULA3" s="84"/>
      <c r="ULB3" s="84"/>
      <c r="ULC3" s="84"/>
      <c r="ULD3" s="84"/>
      <c r="ULE3" s="84"/>
      <c r="ULF3" s="84"/>
      <c r="ULG3" s="84"/>
      <c r="ULH3" s="84"/>
      <c r="ULI3" s="84"/>
      <c r="ULJ3" s="84"/>
      <c r="ULK3" s="84"/>
      <c r="ULL3" s="84"/>
      <c r="ULM3" s="84"/>
      <c r="ULN3" s="84"/>
      <c r="ULO3" s="84"/>
      <c r="ULP3" s="84"/>
      <c r="ULQ3" s="84"/>
      <c r="ULR3" s="84"/>
      <c r="ULS3" s="84"/>
      <c r="ULT3" s="84"/>
      <c r="ULU3" s="84"/>
      <c r="ULV3" s="84"/>
      <c r="ULW3" s="84"/>
      <c r="ULX3" s="84"/>
      <c r="ULY3" s="84"/>
      <c r="ULZ3" s="84"/>
      <c r="UMA3" s="84"/>
      <c r="UMB3" s="84"/>
      <c r="UMC3" s="84"/>
      <c r="UMD3" s="84"/>
      <c r="UME3" s="84"/>
      <c r="UMF3" s="84"/>
      <c r="UMG3" s="84"/>
      <c r="UMH3" s="84"/>
      <c r="UMI3" s="84"/>
      <c r="UMJ3" s="84"/>
      <c r="UMK3" s="84"/>
      <c r="UML3" s="84"/>
      <c r="UMM3" s="84"/>
      <c r="UMN3" s="84"/>
      <c r="UMO3" s="84"/>
      <c r="UMP3" s="84"/>
      <c r="UMQ3" s="84"/>
      <c r="UMR3" s="84"/>
      <c r="UMS3" s="84"/>
      <c r="UMT3" s="84"/>
      <c r="UMU3" s="84"/>
      <c r="UMV3" s="84"/>
      <c r="UMW3" s="84"/>
      <c r="UMX3" s="84"/>
      <c r="UMY3" s="84"/>
      <c r="UMZ3" s="84"/>
      <c r="UNA3" s="84"/>
      <c r="UNB3" s="84"/>
      <c r="UNC3" s="84"/>
      <c r="UND3" s="84"/>
      <c r="UNE3" s="84"/>
      <c r="UNF3" s="84"/>
      <c r="UNG3" s="84"/>
      <c r="UNH3" s="84"/>
      <c r="UNI3" s="84"/>
      <c r="UNJ3" s="84"/>
      <c r="UNK3" s="84"/>
      <c r="UNL3" s="84"/>
      <c r="UNM3" s="84"/>
      <c r="UNN3" s="84"/>
      <c r="UNO3" s="84"/>
      <c r="UNP3" s="84"/>
      <c r="UNQ3" s="84"/>
      <c r="UNR3" s="84"/>
      <c r="UNS3" s="84"/>
      <c r="UNT3" s="84"/>
      <c r="UNU3" s="84"/>
      <c r="UNV3" s="84"/>
      <c r="UNW3" s="84"/>
      <c r="UNX3" s="84"/>
      <c r="UNY3" s="84"/>
      <c r="UNZ3" s="84"/>
      <c r="UOA3" s="84"/>
      <c r="UOB3" s="84"/>
      <c r="UOC3" s="84"/>
      <c r="UOD3" s="84"/>
      <c r="UOE3" s="84"/>
      <c r="UOF3" s="84"/>
      <c r="UOG3" s="84"/>
      <c r="UOH3" s="84"/>
      <c r="UOI3" s="84"/>
      <c r="UOJ3" s="84"/>
      <c r="UOK3" s="84"/>
      <c r="UOL3" s="84"/>
      <c r="UOM3" s="84"/>
      <c r="UON3" s="84"/>
      <c r="UOO3" s="84"/>
      <c r="UOP3" s="84"/>
      <c r="UOQ3" s="84"/>
      <c r="UOR3" s="84"/>
      <c r="UOS3" s="84"/>
      <c r="UOT3" s="84"/>
      <c r="UOU3" s="84"/>
      <c r="UOV3" s="84"/>
      <c r="UOW3" s="84"/>
      <c r="UOX3" s="84"/>
      <c r="UOY3" s="84"/>
      <c r="UOZ3" s="84"/>
      <c r="UPA3" s="84"/>
      <c r="UPB3" s="84"/>
      <c r="UPC3" s="84"/>
      <c r="UPD3" s="84"/>
      <c r="UPE3" s="84"/>
      <c r="UPF3" s="84"/>
      <c r="UPG3" s="84"/>
      <c r="UPH3" s="84"/>
      <c r="UPI3" s="84"/>
      <c r="UPJ3" s="84"/>
      <c r="UPK3" s="84"/>
      <c r="UPL3" s="84"/>
      <c r="UPM3" s="84"/>
      <c r="UPN3" s="84"/>
      <c r="UPO3" s="84"/>
      <c r="UPP3" s="84"/>
      <c r="UPQ3" s="84"/>
      <c r="UPR3" s="84"/>
      <c r="UPS3" s="84"/>
      <c r="UPT3" s="84"/>
      <c r="UPU3" s="84"/>
      <c r="UPV3" s="84"/>
      <c r="UPW3" s="84"/>
      <c r="UPX3" s="84"/>
      <c r="UPY3" s="84"/>
      <c r="UPZ3" s="84"/>
      <c r="UQA3" s="84"/>
      <c r="UQB3" s="84"/>
      <c r="UQC3" s="84"/>
      <c r="UQD3" s="84"/>
      <c r="UQE3" s="84"/>
      <c r="UQF3" s="84"/>
      <c r="UQG3" s="84"/>
      <c r="UQH3" s="84"/>
      <c r="UQI3" s="84"/>
      <c r="UQJ3" s="84"/>
      <c r="UQK3" s="84"/>
      <c r="UQL3" s="84"/>
      <c r="UQM3" s="84"/>
      <c r="UQN3" s="84"/>
      <c r="UQO3" s="84"/>
      <c r="UQP3" s="84"/>
      <c r="UQQ3" s="84"/>
      <c r="UQR3" s="84"/>
      <c r="UQS3" s="84"/>
      <c r="UQT3" s="84"/>
      <c r="UQU3" s="84"/>
      <c r="UQV3" s="84"/>
      <c r="UQW3" s="84"/>
      <c r="UQX3" s="84"/>
      <c r="UQY3" s="84"/>
      <c r="UQZ3" s="84"/>
      <c r="URA3" s="84"/>
      <c r="URB3" s="84"/>
      <c r="URC3" s="84"/>
      <c r="URD3" s="84"/>
      <c r="URE3" s="84"/>
      <c r="URF3" s="84"/>
      <c r="URG3" s="84"/>
      <c r="URH3" s="84"/>
      <c r="URI3" s="84"/>
      <c r="URJ3" s="84"/>
      <c r="URK3" s="84"/>
      <c r="URL3" s="84"/>
      <c r="URM3" s="84"/>
      <c r="URN3" s="84"/>
      <c r="URO3" s="84"/>
      <c r="URP3" s="84"/>
      <c r="URQ3" s="84"/>
      <c r="URR3" s="84"/>
      <c r="URS3" s="84"/>
      <c r="URT3" s="84"/>
      <c r="URU3" s="84"/>
      <c r="URV3" s="84"/>
      <c r="URW3" s="84"/>
      <c r="URX3" s="84"/>
      <c r="URY3" s="84"/>
      <c r="URZ3" s="84"/>
      <c r="USA3" s="84"/>
      <c r="USB3" s="84"/>
      <c r="USC3" s="84"/>
      <c r="USD3" s="84"/>
      <c r="USE3" s="84"/>
      <c r="USF3" s="84"/>
      <c r="USG3" s="84"/>
      <c r="USH3" s="84"/>
      <c r="USI3" s="84"/>
      <c r="USJ3" s="84"/>
      <c r="USK3" s="84"/>
      <c r="USL3" s="84"/>
      <c r="USM3" s="84"/>
      <c r="USN3" s="84"/>
      <c r="USO3" s="84"/>
      <c r="USP3" s="84"/>
      <c r="USQ3" s="84"/>
      <c r="USR3" s="84"/>
      <c r="USS3" s="84"/>
      <c r="UST3" s="84"/>
      <c r="USU3" s="84"/>
      <c r="USV3" s="84"/>
      <c r="USW3" s="84"/>
      <c r="USX3" s="84"/>
      <c r="USY3" s="84"/>
      <c r="USZ3" s="84"/>
      <c r="UTA3" s="84"/>
      <c r="UTB3" s="84"/>
      <c r="UTC3" s="84"/>
      <c r="UTD3" s="84"/>
      <c r="UTE3" s="84"/>
      <c r="UTF3" s="84"/>
      <c r="UTG3" s="84"/>
      <c r="UTH3" s="84"/>
      <c r="UTI3" s="84"/>
      <c r="UTJ3" s="84"/>
      <c r="UTK3" s="84"/>
      <c r="UTL3" s="84"/>
      <c r="UTM3" s="84"/>
      <c r="UTN3" s="84"/>
      <c r="UTO3" s="84"/>
      <c r="UTP3" s="84"/>
      <c r="UTQ3" s="84"/>
      <c r="UTR3" s="84"/>
      <c r="UTS3" s="84"/>
      <c r="UTT3" s="84"/>
      <c r="UTU3" s="84"/>
      <c r="UTV3" s="84"/>
      <c r="UTW3" s="84"/>
      <c r="UTX3" s="84"/>
      <c r="UTY3" s="84"/>
      <c r="UTZ3" s="84"/>
      <c r="UUA3" s="84"/>
      <c r="UUB3" s="84"/>
      <c r="UUC3" s="84"/>
      <c r="UUD3" s="84"/>
      <c r="UUE3" s="84"/>
      <c r="UUF3" s="84"/>
      <c r="UUG3" s="84"/>
      <c r="UUH3" s="84"/>
      <c r="UUI3" s="84"/>
      <c r="UUJ3" s="84"/>
      <c r="UUK3" s="84"/>
      <c r="UUL3" s="84"/>
      <c r="UUM3" s="84"/>
      <c r="UUN3" s="84"/>
      <c r="UUO3" s="84"/>
      <c r="UUP3" s="84"/>
      <c r="UUQ3" s="84"/>
      <c r="UUR3" s="84"/>
      <c r="UUS3" s="84"/>
      <c r="UUT3" s="84"/>
      <c r="UUU3" s="84"/>
      <c r="UUV3" s="84"/>
      <c r="UUW3" s="84"/>
      <c r="UUX3" s="84"/>
      <c r="UUY3" s="84"/>
      <c r="UUZ3" s="84"/>
      <c r="UVA3" s="84"/>
      <c r="UVB3" s="84"/>
      <c r="UVC3" s="84"/>
      <c r="UVD3" s="84"/>
      <c r="UVE3" s="84"/>
      <c r="UVF3" s="84"/>
      <c r="UVG3" s="84"/>
      <c r="UVH3" s="84"/>
      <c r="UVI3" s="84"/>
      <c r="UVJ3" s="84"/>
      <c r="UVK3" s="84"/>
      <c r="UVL3" s="84"/>
      <c r="UVM3" s="84"/>
      <c r="UVN3" s="84"/>
      <c r="UVO3" s="84"/>
      <c r="UVP3" s="84"/>
      <c r="UVQ3" s="84"/>
      <c r="UVR3" s="84"/>
      <c r="UVS3" s="84"/>
      <c r="UVT3" s="84"/>
      <c r="UVU3" s="84"/>
      <c r="UVV3" s="84"/>
      <c r="UVW3" s="84"/>
      <c r="UVX3" s="84"/>
      <c r="UVY3" s="84"/>
      <c r="UVZ3" s="84"/>
      <c r="UWA3" s="84"/>
      <c r="UWB3" s="84"/>
      <c r="UWC3" s="84"/>
      <c r="UWD3" s="84"/>
      <c r="UWE3" s="84"/>
      <c r="UWF3" s="84"/>
      <c r="UWG3" s="84"/>
      <c r="UWH3" s="84"/>
      <c r="UWI3" s="84"/>
      <c r="UWJ3" s="84"/>
      <c r="UWK3" s="84"/>
      <c r="UWL3" s="84"/>
      <c r="UWM3" s="84"/>
      <c r="UWN3" s="84"/>
      <c r="UWO3" s="84"/>
      <c r="UWP3" s="84"/>
      <c r="UWQ3" s="84"/>
      <c r="UWR3" s="84"/>
      <c r="UWS3" s="84"/>
      <c r="UWT3" s="84"/>
      <c r="UWU3" s="84"/>
      <c r="UWV3" s="84"/>
      <c r="UWW3" s="84"/>
      <c r="UWX3" s="84"/>
      <c r="UWY3" s="84"/>
      <c r="UWZ3" s="84"/>
      <c r="UXA3" s="84"/>
      <c r="UXB3" s="84"/>
      <c r="UXC3" s="84"/>
      <c r="UXD3" s="84"/>
      <c r="UXE3" s="84"/>
      <c r="UXF3" s="84"/>
      <c r="UXG3" s="84"/>
      <c r="UXH3" s="84"/>
      <c r="UXI3" s="84"/>
      <c r="UXJ3" s="84"/>
      <c r="UXK3" s="84"/>
      <c r="UXL3" s="84"/>
      <c r="UXM3" s="84"/>
      <c r="UXN3" s="84"/>
      <c r="UXO3" s="84"/>
      <c r="UXP3" s="84"/>
      <c r="UXQ3" s="84"/>
      <c r="UXR3" s="84"/>
      <c r="UXS3" s="84"/>
      <c r="UXT3" s="84"/>
      <c r="UXU3" s="84"/>
      <c r="UXV3" s="84"/>
      <c r="UXW3" s="84"/>
      <c r="UXX3" s="84"/>
      <c r="UXY3" s="84"/>
      <c r="UXZ3" s="84"/>
      <c r="UYA3" s="84"/>
      <c r="UYB3" s="84"/>
      <c r="UYC3" s="84"/>
      <c r="UYD3" s="84"/>
      <c r="UYE3" s="84"/>
      <c r="UYF3" s="84"/>
      <c r="UYG3" s="84"/>
      <c r="UYH3" s="84"/>
      <c r="UYI3" s="84"/>
      <c r="UYJ3" s="84"/>
      <c r="UYK3" s="84"/>
      <c r="UYL3" s="84"/>
      <c r="UYM3" s="84"/>
      <c r="UYN3" s="84"/>
      <c r="UYO3" s="84"/>
      <c r="UYP3" s="84"/>
      <c r="UYQ3" s="84"/>
      <c r="UYR3" s="84"/>
      <c r="UYS3" s="84"/>
      <c r="UYT3" s="84"/>
      <c r="UYU3" s="84"/>
      <c r="UYV3" s="84"/>
      <c r="UYW3" s="84"/>
      <c r="UYX3" s="84"/>
      <c r="UYY3" s="84"/>
      <c r="UYZ3" s="84"/>
      <c r="UZA3" s="84"/>
      <c r="UZB3" s="84"/>
      <c r="UZC3" s="84"/>
      <c r="UZD3" s="84"/>
      <c r="UZE3" s="84"/>
      <c r="UZF3" s="84"/>
      <c r="UZG3" s="84"/>
      <c r="UZH3" s="84"/>
      <c r="UZI3" s="84"/>
      <c r="UZJ3" s="84"/>
      <c r="UZK3" s="84"/>
      <c r="UZL3" s="84"/>
      <c r="UZM3" s="84"/>
      <c r="UZN3" s="84"/>
      <c r="UZO3" s="84"/>
      <c r="UZP3" s="84"/>
      <c r="UZQ3" s="84"/>
      <c r="UZR3" s="84"/>
      <c r="UZS3" s="84"/>
      <c r="UZT3" s="84"/>
      <c r="UZU3" s="84"/>
      <c r="UZV3" s="84"/>
      <c r="UZW3" s="84"/>
      <c r="UZX3" s="84"/>
      <c r="UZY3" s="84"/>
      <c r="UZZ3" s="84"/>
      <c r="VAA3" s="84"/>
      <c r="VAB3" s="84"/>
      <c r="VAC3" s="84"/>
      <c r="VAD3" s="84"/>
      <c r="VAE3" s="84"/>
      <c r="VAF3" s="84"/>
      <c r="VAG3" s="84"/>
      <c r="VAH3" s="84"/>
      <c r="VAI3" s="84"/>
      <c r="VAJ3" s="84"/>
      <c r="VAK3" s="84"/>
      <c r="VAL3" s="84"/>
      <c r="VAM3" s="84"/>
      <c r="VAN3" s="84"/>
      <c r="VAO3" s="84"/>
      <c r="VAP3" s="84"/>
      <c r="VAQ3" s="84"/>
      <c r="VAR3" s="84"/>
      <c r="VAS3" s="84"/>
      <c r="VAT3" s="84"/>
      <c r="VAU3" s="84"/>
      <c r="VAV3" s="84"/>
      <c r="VAW3" s="84"/>
      <c r="VAX3" s="84"/>
      <c r="VAY3" s="84"/>
      <c r="VAZ3" s="84"/>
      <c r="VBA3" s="84"/>
      <c r="VBB3" s="84"/>
      <c r="VBC3" s="84"/>
      <c r="VBD3" s="84"/>
      <c r="VBE3" s="84"/>
      <c r="VBF3" s="84"/>
      <c r="VBG3" s="84"/>
      <c r="VBH3" s="84"/>
      <c r="VBI3" s="84"/>
      <c r="VBJ3" s="84"/>
      <c r="VBK3" s="84"/>
      <c r="VBL3" s="84"/>
      <c r="VBM3" s="84"/>
      <c r="VBN3" s="84"/>
      <c r="VBO3" s="84"/>
      <c r="VBP3" s="84"/>
      <c r="VBQ3" s="84"/>
      <c r="VBR3" s="84"/>
      <c r="VBS3" s="84"/>
      <c r="VBT3" s="84"/>
      <c r="VBU3" s="84"/>
      <c r="VBV3" s="84"/>
      <c r="VBW3" s="84"/>
      <c r="VBX3" s="84"/>
      <c r="VBY3" s="84"/>
      <c r="VBZ3" s="84"/>
      <c r="VCA3" s="84"/>
      <c r="VCB3" s="84"/>
      <c r="VCC3" s="84"/>
      <c r="VCD3" s="84"/>
      <c r="VCE3" s="84"/>
      <c r="VCF3" s="84"/>
      <c r="VCG3" s="84"/>
      <c r="VCH3" s="84"/>
      <c r="VCI3" s="84"/>
      <c r="VCJ3" s="84"/>
      <c r="VCK3" s="84"/>
      <c r="VCL3" s="84"/>
      <c r="VCM3" s="84"/>
      <c r="VCN3" s="84"/>
      <c r="VCO3" s="84"/>
      <c r="VCP3" s="84"/>
      <c r="VCQ3" s="84"/>
      <c r="VCR3" s="84"/>
      <c r="VCS3" s="84"/>
      <c r="VCT3" s="84"/>
      <c r="VCU3" s="84"/>
      <c r="VCV3" s="84"/>
      <c r="VCW3" s="84"/>
      <c r="VCX3" s="84"/>
      <c r="VCY3" s="84"/>
      <c r="VCZ3" s="84"/>
      <c r="VDA3" s="84"/>
      <c r="VDB3" s="84"/>
      <c r="VDC3" s="84"/>
      <c r="VDD3" s="84"/>
      <c r="VDE3" s="84"/>
      <c r="VDF3" s="84"/>
      <c r="VDG3" s="84"/>
      <c r="VDH3" s="84"/>
      <c r="VDI3" s="84"/>
      <c r="VDJ3" s="84"/>
      <c r="VDK3" s="84"/>
      <c r="VDL3" s="84"/>
      <c r="VDM3" s="84"/>
      <c r="VDN3" s="84"/>
      <c r="VDO3" s="84"/>
      <c r="VDP3" s="84"/>
      <c r="VDQ3" s="84"/>
      <c r="VDR3" s="84"/>
      <c r="VDS3" s="84"/>
      <c r="VDT3" s="84"/>
      <c r="VDU3" s="84"/>
      <c r="VDV3" s="84"/>
      <c r="VDW3" s="84"/>
      <c r="VDX3" s="84"/>
      <c r="VDY3" s="84"/>
      <c r="VDZ3" s="84"/>
      <c r="VEA3" s="84"/>
      <c r="VEB3" s="84"/>
      <c r="VEC3" s="84"/>
      <c r="VED3" s="84"/>
      <c r="VEE3" s="84"/>
      <c r="VEF3" s="84"/>
      <c r="VEG3" s="84"/>
      <c r="VEH3" s="84"/>
      <c r="VEI3" s="84"/>
      <c r="VEJ3" s="84"/>
      <c r="VEK3" s="84"/>
      <c r="VEL3" s="84"/>
      <c r="VEM3" s="84"/>
      <c r="VEN3" s="84"/>
      <c r="VEO3" s="84"/>
      <c r="VEP3" s="84"/>
      <c r="VEQ3" s="84"/>
      <c r="VER3" s="84"/>
      <c r="VES3" s="84"/>
      <c r="VET3" s="84"/>
      <c r="VEU3" s="84"/>
      <c r="VEV3" s="84"/>
      <c r="VEW3" s="84"/>
      <c r="VEX3" s="84"/>
      <c r="VEY3" s="84"/>
      <c r="VEZ3" s="84"/>
      <c r="VFA3" s="84"/>
      <c r="VFB3" s="84"/>
      <c r="VFC3" s="84"/>
      <c r="VFD3" s="84"/>
      <c r="VFE3" s="84"/>
      <c r="VFF3" s="84"/>
      <c r="VFG3" s="84"/>
      <c r="VFH3" s="84"/>
      <c r="VFI3" s="84"/>
      <c r="VFJ3" s="84"/>
      <c r="VFK3" s="84"/>
      <c r="VFL3" s="84"/>
      <c r="VFM3" s="84"/>
      <c r="VFN3" s="84"/>
      <c r="VFO3" s="84"/>
      <c r="VFP3" s="84"/>
      <c r="VFQ3" s="84"/>
      <c r="VFR3" s="84"/>
      <c r="VFS3" s="84"/>
      <c r="VFT3" s="84"/>
      <c r="VFU3" s="84"/>
      <c r="VFV3" s="84"/>
      <c r="VFW3" s="84"/>
      <c r="VFX3" s="84"/>
      <c r="VFY3" s="84"/>
      <c r="VFZ3" s="84"/>
      <c r="VGA3" s="84"/>
      <c r="VGB3" s="84"/>
      <c r="VGC3" s="84"/>
      <c r="VGD3" s="84"/>
      <c r="VGE3" s="84"/>
      <c r="VGF3" s="84"/>
      <c r="VGG3" s="84"/>
      <c r="VGH3" s="84"/>
      <c r="VGI3" s="84"/>
      <c r="VGJ3" s="84"/>
      <c r="VGK3" s="84"/>
      <c r="VGL3" s="84"/>
      <c r="VGM3" s="84"/>
      <c r="VGN3" s="84"/>
      <c r="VGO3" s="84"/>
      <c r="VGP3" s="84"/>
      <c r="VGQ3" s="84"/>
      <c r="VGR3" s="84"/>
      <c r="VGS3" s="84"/>
      <c r="VGT3" s="84"/>
      <c r="VGU3" s="84"/>
      <c r="VGV3" s="84"/>
      <c r="VGW3" s="84"/>
      <c r="VGX3" s="84"/>
      <c r="VGY3" s="84"/>
      <c r="VGZ3" s="84"/>
      <c r="VHA3" s="84"/>
      <c r="VHB3" s="84"/>
      <c r="VHC3" s="84"/>
      <c r="VHD3" s="84"/>
      <c r="VHE3" s="84"/>
      <c r="VHF3" s="84"/>
      <c r="VHG3" s="84"/>
      <c r="VHH3" s="84"/>
      <c r="VHI3" s="84"/>
      <c r="VHJ3" s="84"/>
      <c r="VHK3" s="84"/>
      <c r="VHL3" s="84"/>
      <c r="VHM3" s="84"/>
      <c r="VHN3" s="84"/>
      <c r="VHO3" s="84"/>
      <c r="VHP3" s="84"/>
      <c r="VHQ3" s="84"/>
      <c r="VHR3" s="84"/>
      <c r="VHS3" s="84"/>
      <c r="VHT3" s="84"/>
      <c r="VHU3" s="84"/>
      <c r="VHV3" s="84"/>
      <c r="VHW3" s="84"/>
      <c r="VHX3" s="84"/>
      <c r="VHY3" s="84"/>
      <c r="VHZ3" s="84"/>
      <c r="VIA3" s="84"/>
      <c r="VIB3" s="84"/>
      <c r="VIC3" s="84"/>
      <c r="VID3" s="84"/>
      <c r="VIE3" s="84"/>
      <c r="VIF3" s="84"/>
      <c r="VIG3" s="84"/>
      <c r="VIH3" s="84"/>
      <c r="VII3" s="84"/>
      <c r="VIJ3" s="84"/>
      <c r="VIK3" s="84"/>
      <c r="VIL3" s="84"/>
      <c r="VIM3" s="84"/>
      <c r="VIN3" s="84"/>
      <c r="VIO3" s="84"/>
      <c r="VIP3" s="84"/>
      <c r="VIQ3" s="84"/>
      <c r="VIR3" s="84"/>
      <c r="VIS3" s="84"/>
      <c r="VIT3" s="84"/>
      <c r="VIU3" s="84"/>
      <c r="VIV3" s="84"/>
      <c r="VIW3" s="84"/>
      <c r="VIX3" s="84"/>
      <c r="VIY3" s="84"/>
      <c r="VIZ3" s="84"/>
      <c r="VJA3" s="84"/>
      <c r="VJB3" s="84"/>
      <c r="VJC3" s="84"/>
      <c r="VJD3" s="84"/>
      <c r="VJE3" s="84"/>
      <c r="VJF3" s="84"/>
      <c r="VJG3" s="84"/>
      <c r="VJH3" s="84"/>
      <c r="VJI3" s="84"/>
      <c r="VJJ3" s="84"/>
      <c r="VJK3" s="84"/>
      <c r="VJL3" s="84"/>
      <c r="VJM3" s="84"/>
      <c r="VJN3" s="84"/>
      <c r="VJO3" s="84"/>
      <c r="VJP3" s="84"/>
      <c r="VJQ3" s="84"/>
      <c r="VJR3" s="84"/>
      <c r="VJS3" s="84"/>
      <c r="VJT3" s="84"/>
      <c r="VJU3" s="84"/>
      <c r="VJV3" s="84"/>
      <c r="VJW3" s="84"/>
      <c r="VJX3" s="84"/>
      <c r="VJY3" s="84"/>
      <c r="VJZ3" s="84"/>
      <c r="VKA3" s="84"/>
      <c r="VKB3" s="84"/>
      <c r="VKC3" s="84"/>
      <c r="VKD3" s="84"/>
      <c r="VKE3" s="84"/>
      <c r="VKF3" s="84"/>
      <c r="VKG3" s="84"/>
      <c r="VKH3" s="84"/>
      <c r="VKI3" s="84"/>
      <c r="VKJ3" s="84"/>
      <c r="VKK3" s="84"/>
      <c r="VKL3" s="84"/>
      <c r="VKM3" s="84"/>
      <c r="VKN3" s="84"/>
      <c r="VKO3" s="84"/>
      <c r="VKP3" s="84"/>
      <c r="VKQ3" s="84"/>
      <c r="VKR3" s="84"/>
      <c r="VKS3" s="84"/>
      <c r="VKT3" s="84"/>
      <c r="VKU3" s="84"/>
      <c r="VKV3" s="84"/>
      <c r="VKW3" s="84"/>
      <c r="VKX3" s="84"/>
      <c r="VKY3" s="84"/>
      <c r="VKZ3" s="84"/>
      <c r="VLA3" s="84"/>
      <c r="VLB3" s="84"/>
      <c r="VLC3" s="84"/>
      <c r="VLD3" s="84"/>
      <c r="VLE3" s="84"/>
      <c r="VLF3" s="84"/>
      <c r="VLG3" s="84"/>
      <c r="VLH3" s="84"/>
      <c r="VLI3" s="84"/>
      <c r="VLJ3" s="84"/>
      <c r="VLK3" s="84"/>
      <c r="VLL3" s="84"/>
      <c r="VLM3" s="84"/>
      <c r="VLN3" s="84"/>
      <c r="VLO3" s="84"/>
      <c r="VLP3" s="84"/>
      <c r="VLQ3" s="84"/>
      <c r="VLR3" s="84"/>
      <c r="VLS3" s="84"/>
      <c r="VLT3" s="84"/>
      <c r="VLU3" s="84"/>
      <c r="VLV3" s="84"/>
      <c r="VLW3" s="84"/>
      <c r="VLX3" s="84"/>
      <c r="VLY3" s="84"/>
      <c r="VLZ3" s="84"/>
      <c r="VMA3" s="84"/>
      <c r="VMB3" s="84"/>
      <c r="VMC3" s="84"/>
      <c r="VMD3" s="84"/>
      <c r="VME3" s="84"/>
      <c r="VMF3" s="84"/>
      <c r="VMG3" s="84"/>
      <c r="VMH3" s="84"/>
      <c r="VMI3" s="84"/>
      <c r="VMJ3" s="84"/>
      <c r="VMK3" s="84"/>
      <c r="VML3" s="84"/>
      <c r="VMM3" s="84"/>
      <c r="VMN3" s="84"/>
      <c r="VMO3" s="84"/>
      <c r="VMP3" s="84"/>
      <c r="VMQ3" s="84"/>
      <c r="VMR3" s="84"/>
      <c r="VMS3" s="84"/>
      <c r="VMT3" s="84"/>
      <c r="VMU3" s="84"/>
      <c r="VMV3" s="84"/>
      <c r="VMW3" s="84"/>
      <c r="VMX3" s="84"/>
      <c r="VMY3" s="84"/>
      <c r="VMZ3" s="84"/>
      <c r="VNA3" s="84"/>
      <c r="VNB3" s="84"/>
      <c r="VNC3" s="84"/>
      <c r="VND3" s="84"/>
      <c r="VNE3" s="84"/>
      <c r="VNF3" s="84"/>
      <c r="VNG3" s="84"/>
      <c r="VNH3" s="84"/>
      <c r="VNI3" s="84"/>
      <c r="VNJ3" s="84"/>
      <c r="VNK3" s="84"/>
      <c r="VNL3" s="84"/>
      <c r="VNM3" s="84"/>
      <c r="VNN3" s="84"/>
      <c r="VNO3" s="84"/>
      <c r="VNP3" s="84"/>
      <c r="VNQ3" s="84"/>
      <c r="VNR3" s="84"/>
      <c r="VNS3" s="84"/>
      <c r="VNT3" s="84"/>
      <c r="VNU3" s="84"/>
      <c r="VNV3" s="84"/>
      <c r="VNW3" s="84"/>
      <c r="VNX3" s="84"/>
      <c r="VNY3" s="84"/>
      <c r="VNZ3" s="84"/>
      <c r="VOA3" s="84"/>
      <c r="VOB3" s="84"/>
      <c r="VOC3" s="84"/>
      <c r="VOD3" s="84"/>
      <c r="VOE3" s="84"/>
      <c r="VOF3" s="84"/>
      <c r="VOG3" s="84"/>
      <c r="VOH3" s="84"/>
      <c r="VOI3" s="84"/>
      <c r="VOJ3" s="84"/>
      <c r="VOK3" s="84"/>
      <c r="VOL3" s="84"/>
      <c r="VOM3" s="84"/>
      <c r="VON3" s="84"/>
      <c r="VOO3" s="84"/>
      <c r="VOP3" s="84"/>
      <c r="VOQ3" s="84"/>
      <c r="VOR3" s="84"/>
      <c r="VOS3" s="84"/>
      <c r="VOT3" s="84"/>
      <c r="VOU3" s="84"/>
      <c r="VOV3" s="84"/>
      <c r="VOW3" s="84"/>
      <c r="VOX3" s="84"/>
      <c r="VOY3" s="84"/>
      <c r="VOZ3" s="84"/>
      <c r="VPA3" s="84"/>
      <c r="VPB3" s="84"/>
      <c r="VPC3" s="84"/>
      <c r="VPD3" s="84"/>
      <c r="VPE3" s="84"/>
      <c r="VPF3" s="84"/>
      <c r="VPG3" s="84"/>
      <c r="VPH3" s="84"/>
      <c r="VPI3" s="84"/>
      <c r="VPJ3" s="84"/>
      <c r="VPK3" s="84"/>
      <c r="VPL3" s="84"/>
      <c r="VPM3" s="84"/>
      <c r="VPN3" s="84"/>
      <c r="VPO3" s="84"/>
      <c r="VPP3" s="84"/>
      <c r="VPQ3" s="84"/>
      <c r="VPR3" s="84"/>
      <c r="VPS3" s="84"/>
      <c r="VPT3" s="84"/>
      <c r="VPU3" s="84"/>
      <c r="VPV3" s="84"/>
      <c r="VPW3" s="84"/>
      <c r="VPX3" s="84"/>
      <c r="VPY3" s="84"/>
      <c r="VPZ3" s="84"/>
      <c r="VQA3" s="84"/>
      <c r="VQB3" s="84"/>
      <c r="VQC3" s="84"/>
      <c r="VQD3" s="84"/>
      <c r="VQE3" s="84"/>
      <c r="VQF3" s="84"/>
      <c r="VQG3" s="84"/>
      <c r="VQH3" s="84"/>
      <c r="VQI3" s="84"/>
      <c r="VQJ3" s="84"/>
      <c r="VQK3" s="84"/>
      <c r="VQL3" s="84"/>
      <c r="VQM3" s="84"/>
      <c r="VQN3" s="84"/>
      <c r="VQO3" s="84"/>
      <c r="VQP3" s="84"/>
      <c r="VQQ3" s="84"/>
      <c r="VQR3" s="84"/>
      <c r="VQS3" s="84"/>
      <c r="VQT3" s="84"/>
      <c r="VQU3" s="84"/>
      <c r="VQV3" s="84"/>
      <c r="VQW3" s="84"/>
      <c r="VQX3" s="84"/>
      <c r="VQY3" s="84"/>
      <c r="VQZ3" s="84"/>
      <c r="VRA3" s="84"/>
      <c r="VRB3" s="84"/>
      <c r="VRC3" s="84"/>
      <c r="VRD3" s="84"/>
      <c r="VRE3" s="84"/>
      <c r="VRF3" s="84"/>
      <c r="VRG3" s="84"/>
      <c r="VRH3" s="84"/>
      <c r="VRI3" s="84"/>
      <c r="VRJ3" s="84"/>
      <c r="VRK3" s="84"/>
      <c r="VRL3" s="84"/>
      <c r="VRM3" s="84"/>
      <c r="VRN3" s="84"/>
      <c r="VRO3" s="84"/>
      <c r="VRP3" s="84"/>
      <c r="VRQ3" s="84"/>
      <c r="VRR3" s="84"/>
      <c r="VRS3" s="84"/>
      <c r="VRT3" s="84"/>
      <c r="VRU3" s="84"/>
      <c r="VRV3" s="84"/>
      <c r="VRW3" s="84"/>
      <c r="VRX3" s="84"/>
      <c r="VRY3" s="84"/>
      <c r="VRZ3" s="84"/>
      <c r="VSA3" s="84"/>
      <c r="VSB3" s="84"/>
      <c r="VSC3" s="84"/>
      <c r="VSD3" s="84"/>
      <c r="VSE3" s="84"/>
      <c r="VSF3" s="84"/>
      <c r="VSG3" s="84"/>
      <c r="VSH3" s="84"/>
      <c r="VSI3" s="84"/>
      <c r="VSJ3" s="84"/>
      <c r="VSK3" s="84"/>
      <c r="VSL3" s="84"/>
      <c r="VSM3" s="84"/>
      <c r="VSN3" s="84"/>
      <c r="VSO3" s="84"/>
      <c r="VSP3" s="84"/>
      <c r="VSQ3" s="84"/>
      <c r="VSR3" s="84"/>
      <c r="VSS3" s="84"/>
      <c r="VST3" s="84"/>
      <c r="VSU3" s="84"/>
      <c r="VSV3" s="84"/>
      <c r="VSW3" s="84"/>
      <c r="VSX3" s="84"/>
      <c r="VSY3" s="84"/>
      <c r="VSZ3" s="84"/>
      <c r="VTA3" s="84"/>
      <c r="VTB3" s="84"/>
      <c r="VTC3" s="84"/>
      <c r="VTD3" s="84"/>
      <c r="VTE3" s="84"/>
      <c r="VTF3" s="84"/>
      <c r="VTG3" s="84"/>
      <c r="VTH3" s="84"/>
      <c r="VTI3" s="84"/>
      <c r="VTJ3" s="84"/>
      <c r="VTK3" s="84"/>
      <c r="VTL3" s="84"/>
      <c r="VTM3" s="84"/>
      <c r="VTN3" s="84"/>
      <c r="VTO3" s="84"/>
      <c r="VTP3" s="84"/>
      <c r="VTQ3" s="84"/>
      <c r="VTR3" s="84"/>
      <c r="VTS3" s="84"/>
      <c r="VTT3" s="84"/>
      <c r="VTU3" s="84"/>
      <c r="VTV3" s="84"/>
      <c r="VTW3" s="84"/>
      <c r="VTX3" s="84"/>
      <c r="VTY3" s="84"/>
      <c r="VTZ3" s="84"/>
      <c r="VUA3" s="84"/>
      <c r="VUB3" s="84"/>
      <c r="VUC3" s="84"/>
      <c r="VUD3" s="84"/>
      <c r="VUE3" s="84"/>
      <c r="VUF3" s="84"/>
      <c r="VUG3" s="84"/>
      <c r="VUH3" s="84"/>
      <c r="VUI3" s="84"/>
      <c r="VUJ3" s="84"/>
      <c r="VUK3" s="84"/>
      <c r="VUL3" s="84"/>
      <c r="VUM3" s="84"/>
      <c r="VUN3" s="84"/>
      <c r="VUO3" s="84"/>
      <c r="VUP3" s="84"/>
      <c r="VUQ3" s="84"/>
      <c r="VUR3" s="84"/>
      <c r="VUS3" s="84"/>
      <c r="VUT3" s="84"/>
      <c r="VUU3" s="84"/>
      <c r="VUV3" s="84"/>
      <c r="VUW3" s="84"/>
      <c r="VUX3" s="84"/>
      <c r="VUY3" s="84"/>
      <c r="VUZ3" s="84"/>
      <c r="VVA3" s="84"/>
      <c r="VVB3" s="84"/>
      <c r="VVC3" s="84"/>
      <c r="VVD3" s="84"/>
      <c r="VVE3" s="84"/>
      <c r="VVF3" s="84"/>
      <c r="VVG3" s="84"/>
      <c r="VVH3" s="84"/>
      <c r="VVI3" s="84"/>
      <c r="VVJ3" s="84"/>
      <c r="VVK3" s="84"/>
      <c r="VVL3" s="84"/>
      <c r="VVM3" s="84"/>
      <c r="VVN3" s="84"/>
      <c r="VVO3" s="84"/>
      <c r="VVP3" s="84"/>
      <c r="VVQ3" s="84"/>
      <c r="VVR3" s="84"/>
      <c r="VVS3" s="84"/>
      <c r="VVT3" s="84"/>
      <c r="VVU3" s="84"/>
      <c r="VVV3" s="84"/>
      <c r="VVW3" s="84"/>
      <c r="VVX3" s="84"/>
      <c r="VVY3" s="84"/>
      <c r="VVZ3" s="84"/>
      <c r="VWA3" s="84"/>
      <c r="VWB3" s="84"/>
      <c r="VWC3" s="84"/>
      <c r="VWD3" s="84"/>
      <c r="VWE3" s="84"/>
      <c r="VWF3" s="84"/>
      <c r="VWG3" s="84"/>
      <c r="VWH3" s="84"/>
      <c r="VWI3" s="84"/>
      <c r="VWJ3" s="84"/>
      <c r="VWK3" s="84"/>
      <c r="VWL3" s="84"/>
      <c r="VWM3" s="84"/>
      <c r="VWN3" s="84"/>
      <c r="VWO3" s="84"/>
      <c r="VWP3" s="84"/>
      <c r="VWQ3" s="84"/>
      <c r="VWR3" s="84"/>
      <c r="VWS3" s="84"/>
      <c r="VWT3" s="84"/>
      <c r="VWU3" s="84"/>
      <c r="VWV3" s="84"/>
      <c r="VWW3" s="84"/>
      <c r="VWX3" s="84"/>
      <c r="VWY3" s="84"/>
      <c r="VWZ3" s="84"/>
      <c r="VXA3" s="84"/>
      <c r="VXB3" s="84"/>
      <c r="VXC3" s="84"/>
      <c r="VXD3" s="84"/>
      <c r="VXE3" s="84"/>
      <c r="VXF3" s="84"/>
      <c r="VXG3" s="84"/>
      <c r="VXH3" s="84"/>
      <c r="VXI3" s="84"/>
      <c r="VXJ3" s="84"/>
      <c r="VXK3" s="84"/>
      <c r="VXL3" s="84"/>
      <c r="VXM3" s="84"/>
      <c r="VXN3" s="84"/>
      <c r="VXO3" s="84"/>
      <c r="VXP3" s="84"/>
      <c r="VXQ3" s="84"/>
      <c r="VXR3" s="84"/>
      <c r="VXS3" s="84"/>
      <c r="VXT3" s="84"/>
      <c r="VXU3" s="84"/>
      <c r="VXV3" s="84"/>
      <c r="VXW3" s="84"/>
      <c r="VXX3" s="84"/>
      <c r="VXY3" s="84"/>
      <c r="VXZ3" s="84"/>
      <c r="VYA3" s="84"/>
      <c r="VYB3" s="84"/>
      <c r="VYC3" s="84"/>
      <c r="VYD3" s="84"/>
      <c r="VYE3" s="84"/>
      <c r="VYF3" s="84"/>
      <c r="VYG3" s="84"/>
      <c r="VYH3" s="84"/>
      <c r="VYI3" s="84"/>
      <c r="VYJ3" s="84"/>
      <c r="VYK3" s="84"/>
      <c r="VYL3" s="84"/>
      <c r="VYM3" s="84"/>
      <c r="VYN3" s="84"/>
      <c r="VYO3" s="84"/>
      <c r="VYP3" s="84"/>
      <c r="VYQ3" s="84"/>
      <c r="VYR3" s="84"/>
      <c r="VYS3" s="84"/>
      <c r="VYT3" s="84"/>
      <c r="VYU3" s="84"/>
      <c r="VYV3" s="84"/>
      <c r="VYW3" s="84"/>
      <c r="VYX3" s="84"/>
      <c r="VYY3" s="84"/>
      <c r="VYZ3" s="84"/>
      <c r="VZA3" s="84"/>
      <c r="VZB3" s="84"/>
      <c r="VZC3" s="84"/>
      <c r="VZD3" s="84"/>
      <c r="VZE3" s="84"/>
      <c r="VZF3" s="84"/>
      <c r="VZG3" s="84"/>
      <c r="VZH3" s="84"/>
      <c r="VZI3" s="84"/>
      <c r="VZJ3" s="84"/>
      <c r="VZK3" s="84"/>
      <c r="VZL3" s="84"/>
      <c r="VZM3" s="84"/>
      <c r="VZN3" s="84"/>
      <c r="VZO3" s="84"/>
      <c r="VZP3" s="84"/>
      <c r="VZQ3" s="84"/>
      <c r="VZR3" s="84"/>
      <c r="VZS3" s="84"/>
      <c r="VZT3" s="84"/>
      <c r="VZU3" s="84"/>
      <c r="VZV3" s="84"/>
      <c r="VZW3" s="84"/>
      <c r="VZX3" s="84"/>
      <c r="VZY3" s="84"/>
      <c r="VZZ3" s="84"/>
      <c r="WAA3" s="84"/>
      <c r="WAB3" s="84"/>
      <c r="WAC3" s="84"/>
      <c r="WAD3" s="84"/>
      <c r="WAE3" s="84"/>
      <c r="WAF3" s="84"/>
      <c r="WAG3" s="84"/>
      <c r="WAH3" s="84"/>
      <c r="WAI3" s="84"/>
      <c r="WAJ3" s="84"/>
      <c r="WAK3" s="84"/>
      <c r="WAL3" s="84"/>
      <c r="WAM3" s="84"/>
      <c r="WAN3" s="84"/>
      <c r="WAO3" s="84"/>
      <c r="WAP3" s="84"/>
      <c r="WAQ3" s="84"/>
      <c r="WAR3" s="84"/>
      <c r="WAS3" s="84"/>
      <c r="WAT3" s="84"/>
      <c r="WAU3" s="84"/>
      <c r="WAV3" s="84"/>
      <c r="WAW3" s="84"/>
      <c r="WAX3" s="84"/>
      <c r="WAY3" s="84"/>
      <c r="WAZ3" s="84"/>
      <c r="WBA3" s="84"/>
      <c r="WBB3" s="84"/>
      <c r="WBC3" s="84"/>
      <c r="WBD3" s="84"/>
      <c r="WBE3" s="84"/>
      <c r="WBF3" s="84"/>
      <c r="WBG3" s="84"/>
      <c r="WBH3" s="84"/>
      <c r="WBI3" s="84"/>
      <c r="WBJ3" s="84"/>
      <c r="WBK3" s="84"/>
      <c r="WBL3" s="84"/>
      <c r="WBM3" s="84"/>
      <c r="WBN3" s="84"/>
      <c r="WBO3" s="84"/>
      <c r="WBP3" s="84"/>
      <c r="WBQ3" s="84"/>
      <c r="WBR3" s="84"/>
      <c r="WBS3" s="84"/>
      <c r="WBT3" s="84"/>
      <c r="WBU3" s="84"/>
      <c r="WBV3" s="84"/>
      <c r="WBW3" s="84"/>
      <c r="WBX3" s="84"/>
      <c r="WBY3" s="84"/>
      <c r="WBZ3" s="84"/>
      <c r="WCA3" s="84"/>
      <c r="WCB3" s="84"/>
      <c r="WCC3" s="84"/>
      <c r="WCD3" s="84"/>
      <c r="WCE3" s="84"/>
      <c r="WCF3" s="84"/>
      <c r="WCG3" s="84"/>
      <c r="WCH3" s="84"/>
      <c r="WCI3" s="84"/>
      <c r="WCJ3" s="84"/>
      <c r="WCK3" s="84"/>
      <c r="WCL3" s="84"/>
      <c r="WCM3" s="84"/>
      <c r="WCN3" s="84"/>
      <c r="WCO3" s="84"/>
      <c r="WCP3" s="84"/>
      <c r="WCQ3" s="84"/>
      <c r="WCR3" s="84"/>
      <c r="WCS3" s="84"/>
      <c r="WCT3" s="84"/>
      <c r="WCU3" s="84"/>
      <c r="WCV3" s="84"/>
      <c r="WCW3" s="84"/>
      <c r="WCX3" s="84"/>
      <c r="WCY3" s="84"/>
      <c r="WCZ3" s="84"/>
      <c r="WDA3" s="84"/>
      <c r="WDB3" s="84"/>
      <c r="WDC3" s="84"/>
      <c r="WDD3" s="84"/>
      <c r="WDE3" s="84"/>
      <c r="WDF3" s="84"/>
      <c r="WDG3" s="84"/>
      <c r="WDH3" s="84"/>
      <c r="WDI3" s="84"/>
      <c r="WDJ3" s="84"/>
      <c r="WDK3" s="84"/>
      <c r="WDL3" s="84"/>
      <c r="WDM3" s="84"/>
      <c r="WDN3" s="84"/>
      <c r="WDO3" s="84"/>
      <c r="WDP3" s="84"/>
      <c r="WDQ3" s="84"/>
      <c r="WDR3" s="84"/>
      <c r="WDS3" s="84"/>
      <c r="WDT3" s="84"/>
      <c r="WDU3" s="84"/>
      <c r="WDV3" s="84"/>
      <c r="WDW3" s="84"/>
      <c r="WDX3" s="84"/>
      <c r="WDY3" s="84"/>
      <c r="WDZ3" s="84"/>
      <c r="WEA3" s="84"/>
      <c r="WEB3" s="84"/>
      <c r="WEC3" s="84"/>
      <c r="WED3" s="84"/>
      <c r="WEE3" s="84"/>
      <c r="WEF3" s="84"/>
      <c r="WEG3" s="84"/>
      <c r="WEH3" s="84"/>
      <c r="WEI3" s="84"/>
      <c r="WEJ3" s="84"/>
      <c r="WEK3" s="84"/>
      <c r="WEL3" s="84"/>
      <c r="WEM3" s="84"/>
      <c r="WEN3" s="84"/>
      <c r="WEO3" s="84"/>
      <c r="WEP3" s="84"/>
      <c r="WEQ3" s="84"/>
      <c r="WER3" s="84"/>
      <c r="WES3" s="84"/>
      <c r="WET3" s="84"/>
      <c r="WEU3" s="84"/>
      <c r="WEV3" s="84"/>
      <c r="WEW3" s="84"/>
      <c r="WEX3" s="84"/>
      <c r="WEY3" s="84"/>
      <c r="WEZ3" s="84"/>
      <c r="WFA3" s="84"/>
      <c r="WFB3" s="84"/>
      <c r="WFC3" s="84"/>
      <c r="WFD3" s="84"/>
      <c r="WFE3" s="84"/>
      <c r="WFF3" s="84"/>
      <c r="WFG3" s="84"/>
      <c r="WFH3" s="84"/>
      <c r="WFI3" s="84"/>
      <c r="WFJ3" s="84"/>
      <c r="WFK3" s="84"/>
      <c r="WFL3" s="84"/>
      <c r="WFM3" s="84"/>
      <c r="WFN3" s="84"/>
      <c r="WFO3" s="84"/>
      <c r="WFP3" s="84"/>
      <c r="WFQ3" s="84"/>
      <c r="WFR3" s="84"/>
      <c r="WFS3" s="84"/>
      <c r="WFT3" s="84"/>
      <c r="WFU3" s="84"/>
      <c r="WFV3" s="84"/>
      <c r="WFW3" s="84"/>
      <c r="WFX3" s="84"/>
      <c r="WFY3" s="84"/>
      <c r="WFZ3" s="84"/>
      <c r="WGA3" s="84"/>
      <c r="WGB3" s="84"/>
      <c r="WGC3" s="84"/>
      <c r="WGD3" s="84"/>
      <c r="WGE3" s="84"/>
      <c r="WGF3" s="84"/>
      <c r="WGG3" s="84"/>
      <c r="WGH3" s="84"/>
      <c r="WGI3" s="84"/>
      <c r="WGJ3" s="84"/>
      <c r="WGK3" s="84"/>
      <c r="WGL3" s="84"/>
      <c r="WGM3" s="84"/>
      <c r="WGN3" s="84"/>
      <c r="WGO3" s="84"/>
      <c r="WGP3" s="84"/>
      <c r="WGQ3" s="84"/>
      <c r="WGR3" s="84"/>
      <c r="WGS3" s="84"/>
      <c r="WGT3" s="84"/>
      <c r="WGU3" s="84"/>
      <c r="WGV3" s="84"/>
      <c r="WGW3" s="84"/>
      <c r="WGX3" s="84"/>
      <c r="WGY3" s="84"/>
      <c r="WGZ3" s="84"/>
      <c r="WHA3" s="84"/>
      <c r="WHB3" s="84"/>
      <c r="WHC3" s="84"/>
      <c r="WHD3" s="84"/>
      <c r="WHE3" s="84"/>
      <c r="WHF3" s="84"/>
      <c r="WHG3" s="84"/>
      <c r="WHH3" s="84"/>
      <c r="WHI3" s="84"/>
      <c r="WHJ3" s="84"/>
      <c r="WHK3" s="84"/>
      <c r="WHL3" s="84"/>
      <c r="WHM3" s="84"/>
      <c r="WHN3" s="84"/>
      <c r="WHO3" s="84"/>
      <c r="WHP3" s="84"/>
      <c r="WHQ3" s="84"/>
      <c r="WHR3" s="84"/>
      <c r="WHS3" s="84"/>
      <c r="WHT3" s="84"/>
      <c r="WHU3" s="84"/>
      <c r="WHV3" s="84"/>
      <c r="WHW3" s="84"/>
      <c r="WHX3" s="84"/>
      <c r="WHY3" s="84"/>
      <c r="WHZ3" s="84"/>
      <c r="WIA3" s="84"/>
      <c r="WIB3" s="84"/>
      <c r="WIC3" s="84"/>
      <c r="WID3" s="84"/>
      <c r="WIE3" s="84"/>
      <c r="WIF3" s="84"/>
      <c r="WIG3" s="84"/>
      <c r="WIH3" s="84"/>
      <c r="WII3" s="84"/>
      <c r="WIJ3" s="84"/>
      <c r="WIK3" s="84"/>
      <c r="WIL3" s="84"/>
      <c r="WIM3" s="84"/>
      <c r="WIN3" s="84"/>
      <c r="WIO3" s="84"/>
      <c r="WIP3" s="84"/>
      <c r="WIQ3" s="84"/>
      <c r="WIR3" s="84"/>
      <c r="WIS3" s="84"/>
      <c r="WIT3" s="84"/>
      <c r="WIU3" s="84"/>
      <c r="WIV3" s="84"/>
      <c r="WIW3" s="84"/>
      <c r="WIX3" s="84"/>
      <c r="WIY3" s="84"/>
      <c r="WIZ3" s="84"/>
      <c r="WJA3" s="84"/>
      <c r="WJB3" s="84"/>
      <c r="WJC3" s="84"/>
      <c r="WJD3" s="84"/>
      <c r="WJE3" s="84"/>
      <c r="WJF3" s="84"/>
      <c r="WJG3" s="84"/>
      <c r="WJH3" s="84"/>
      <c r="WJI3" s="84"/>
      <c r="WJJ3" s="84"/>
      <c r="WJK3" s="84"/>
      <c r="WJL3" s="84"/>
      <c r="WJM3" s="84"/>
      <c r="WJN3" s="84"/>
      <c r="WJO3" s="84"/>
      <c r="WJP3" s="84"/>
      <c r="WJQ3" s="84"/>
      <c r="WJR3" s="84"/>
      <c r="WJS3" s="84"/>
      <c r="WJT3" s="84"/>
      <c r="WJU3" s="84"/>
      <c r="WJV3" s="84"/>
      <c r="WJW3" s="84"/>
      <c r="WJX3" s="84"/>
      <c r="WJY3" s="84"/>
      <c r="WJZ3" s="84"/>
      <c r="WKA3" s="84"/>
      <c r="WKB3" s="84"/>
      <c r="WKC3" s="84"/>
      <c r="WKD3" s="84"/>
      <c r="WKE3" s="84"/>
      <c r="WKF3" s="84"/>
      <c r="WKG3" s="84"/>
      <c r="WKH3" s="84"/>
      <c r="WKI3" s="84"/>
      <c r="WKJ3" s="84"/>
      <c r="WKK3" s="84"/>
      <c r="WKL3" s="84"/>
      <c r="WKM3" s="84"/>
      <c r="WKN3" s="84"/>
      <c r="WKO3" s="84"/>
      <c r="WKP3" s="84"/>
      <c r="WKQ3" s="84"/>
      <c r="WKR3" s="84"/>
      <c r="WKS3" s="84"/>
      <c r="WKT3" s="84"/>
      <c r="WKU3" s="84"/>
      <c r="WKV3" s="84"/>
      <c r="WKW3" s="84"/>
      <c r="WKX3" s="84"/>
      <c r="WKY3" s="84"/>
      <c r="WKZ3" s="84"/>
      <c r="WLA3" s="84"/>
      <c r="WLB3" s="84"/>
      <c r="WLC3" s="84"/>
      <c r="WLD3" s="84"/>
      <c r="WLE3" s="84"/>
      <c r="WLF3" s="84"/>
      <c r="WLG3" s="84"/>
      <c r="WLH3" s="84"/>
      <c r="WLI3" s="84"/>
      <c r="WLJ3" s="84"/>
      <c r="WLK3" s="84"/>
      <c r="WLL3" s="84"/>
      <c r="WLM3" s="84"/>
      <c r="WLN3" s="84"/>
      <c r="WLO3" s="84"/>
      <c r="WLP3" s="84"/>
      <c r="WLQ3" s="84"/>
      <c r="WLR3" s="84"/>
      <c r="WLS3" s="84"/>
      <c r="WLT3" s="84"/>
      <c r="WLU3" s="84"/>
      <c r="WLV3" s="84"/>
      <c r="WLW3" s="84"/>
      <c r="WLX3" s="84"/>
      <c r="WLY3" s="84"/>
      <c r="WLZ3" s="84"/>
      <c r="WMA3" s="84"/>
      <c r="WMB3" s="84"/>
      <c r="WMC3" s="84"/>
      <c r="WMD3" s="84"/>
      <c r="WME3" s="84"/>
      <c r="WMF3" s="84"/>
      <c r="WMG3" s="84"/>
      <c r="WMH3" s="84"/>
      <c r="WMI3" s="84"/>
      <c r="WMJ3" s="84"/>
      <c r="WMK3" s="84"/>
      <c r="WML3" s="84"/>
      <c r="WMM3" s="84"/>
      <c r="WMN3" s="84"/>
      <c r="WMO3" s="84"/>
      <c r="WMP3" s="84"/>
      <c r="WMQ3" s="84"/>
      <c r="WMR3" s="84"/>
      <c r="WMS3" s="84"/>
      <c r="WMT3" s="84"/>
      <c r="WMU3" s="84"/>
      <c r="WMV3" s="84"/>
      <c r="WMW3" s="84"/>
      <c r="WMX3" s="84"/>
      <c r="WMY3" s="84"/>
      <c r="WMZ3" s="84"/>
      <c r="WNA3" s="84"/>
      <c r="WNB3" s="84"/>
      <c r="WNC3" s="84"/>
      <c r="WND3" s="84"/>
      <c r="WNE3" s="84"/>
      <c r="WNF3" s="84"/>
      <c r="WNG3" s="84"/>
      <c r="WNH3" s="84"/>
      <c r="WNI3" s="84"/>
      <c r="WNJ3" s="84"/>
      <c r="WNK3" s="84"/>
      <c r="WNL3" s="84"/>
      <c r="WNM3" s="84"/>
      <c r="WNN3" s="84"/>
      <c r="WNO3" s="84"/>
      <c r="WNP3" s="84"/>
      <c r="WNQ3" s="84"/>
      <c r="WNR3" s="84"/>
      <c r="WNS3" s="84"/>
      <c r="WNT3" s="84"/>
      <c r="WNU3" s="84"/>
      <c r="WNV3" s="84"/>
      <c r="WNW3" s="84"/>
      <c r="WNX3" s="84"/>
      <c r="WNY3" s="84"/>
      <c r="WNZ3" s="84"/>
      <c r="WOA3" s="84"/>
      <c r="WOB3" s="84"/>
      <c r="WOC3" s="84"/>
      <c r="WOD3" s="84"/>
      <c r="WOE3" s="84"/>
      <c r="WOF3" s="84"/>
      <c r="WOG3" s="84"/>
      <c r="WOH3" s="84"/>
      <c r="WOI3" s="84"/>
      <c r="WOJ3" s="84"/>
      <c r="WOK3" s="84"/>
      <c r="WOL3" s="84"/>
      <c r="WOM3" s="84"/>
      <c r="WON3" s="84"/>
      <c r="WOO3" s="84"/>
      <c r="WOP3" s="84"/>
      <c r="WOQ3" s="84"/>
      <c r="WOR3" s="84"/>
      <c r="WOS3" s="84"/>
      <c r="WOT3" s="84"/>
      <c r="WOU3" s="84"/>
      <c r="WOV3" s="84"/>
      <c r="WOW3" s="84"/>
      <c r="WOX3" s="84"/>
      <c r="WOY3" s="84"/>
      <c r="WOZ3" s="84"/>
      <c r="WPA3" s="84"/>
      <c r="WPB3" s="84"/>
      <c r="WPC3" s="84"/>
      <c r="WPD3" s="84"/>
      <c r="WPE3" s="84"/>
      <c r="WPF3" s="84"/>
      <c r="WPG3" s="84"/>
      <c r="WPH3" s="84"/>
      <c r="WPI3" s="84"/>
      <c r="WPJ3" s="84"/>
      <c r="WPK3" s="84"/>
      <c r="WPL3" s="84"/>
      <c r="WPM3" s="84"/>
      <c r="WPN3" s="84"/>
      <c r="WPO3" s="84"/>
      <c r="WPP3" s="84"/>
      <c r="WPQ3" s="84"/>
      <c r="WPR3" s="84"/>
      <c r="WPS3" s="84"/>
      <c r="WPT3" s="84"/>
      <c r="WPU3" s="84"/>
      <c r="WPV3" s="84"/>
      <c r="WPW3" s="84"/>
      <c r="WPX3" s="84"/>
      <c r="WPY3" s="84"/>
      <c r="WPZ3" s="84"/>
      <c r="WQA3" s="84"/>
      <c r="WQB3" s="84"/>
      <c r="WQC3" s="84"/>
      <c r="WQD3" s="84"/>
      <c r="WQE3" s="84"/>
      <c r="WQF3" s="84"/>
      <c r="WQG3" s="84"/>
      <c r="WQH3" s="84"/>
      <c r="WQI3" s="84"/>
      <c r="WQJ3" s="84"/>
      <c r="WQK3" s="84"/>
      <c r="WQL3" s="84"/>
      <c r="WQM3" s="84"/>
      <c r="WQN3" s="84"/>
      <c r="WQO3" s="84"/>
      <c r="WQP3" s="84"/>
      <c r="WQQ3" s="84"/>
      <c r="WQR3" s="84"/>
      <c r="WQS3" s="84"/>
      <c r="WQT3" s="84"/>
      <c r="WQU3" s="84"/>
      <c r="WQV3" s="84"/>
      <c r="WQW3" s="84"/>
      <c r="WQX3" s="84"/>
      <c r="WQY3" s="84"/>
      <c r="WQZ3" s="84"/>
      <c r="WRA3" s="84"/>
      <c r="WRB3" s="84"/>
      <c r="WRC3" s="84"/>
      <c r="WRD3" s="84"/>
      <c r="WRE3" s="84"/>
      <c r="WRF3" s="84"/>
      <c r="WRG3" s="84"/>
      <c r="WRH3" s="84"/>
      <c r="WRI3" s="84"/>
      <c r="WRJ3" s="84"/>
      <c r="WRK3" s="84"/>
      <c r="WRL3" s="84"/>
      <c r="WRM3" s="84"/>
      <c r="WRN3" s="84"/>
      <c r="WRO3" s="84"/>
      <c r="WRP3" s="84"/>
      <c r="WRQ3" s="84"/>
      <c r="WRR3" s="84"/>
      <c r="WRS3" s="84"/>
      <c r="WRT3" s="84"/>
      <c r="WRU3" s="84"/>
      <c r="WRV3" s="84"/>
      <c r="WRW3" s="84"/>
      <c r="WRX3" s="84"/>
      <c r="WRY3" s="84"/>
      <c r="WRZ3" s="84"/>
      <c r="WSA3" s="84"/>
      <c r="WSB3" s="84"/>
      <c r="WSC3" s="84"/>
      <c r="WSD3" s="84"/>
      <c r="WSE3" s="84"/>
      <c r="WSF3" s="84"/>
      <c r="WSG3" s="84"/>
      <c r="WSH3" s="84"/>
      <c r="WSI3" s="84"/>
      <c r="WSJ3" s="84"/>
      <c r="WSK3" s="84"/>
      <c r="WSL3" s="84"/>
      <c r="WSM3" s="84"/>
      <c r="WSN3" s="84"/>
      <c r="WSO3" s="84"/>
      <c r="WSP3" s="84"/>
      <c r="WSQ3" s="84"/>
      <c r="WSR3" s="84"/>
      <c r="WSS3" s="84"/>
      <c r="WST3" s="84"/>
      <c r="WSU3" s="84"/>
      <c r="WSV3" s="84"/>
      <c r="WSW3" s="84"/>
      <c r="WSX3" s="84"/>
      <c r="WSY3" s="84"/>
      <c r="WSZ3" s="84"/>
      <c r="WTA3" s="84"/>
      <c r="WTB3" s="84"/>
      <c r="WTC3" s="84"/>
      <c r="WTD3" s="84"/>
      <c r="WTE3" s="84"/>
      <c r="WTF3" s="84"/>
      <c r="WTG3" s="84"/>
      <c r="WTH3" s="84"/>
      <c r="WTI3" s="84"/>
      <c r="WTJ3" s="84"/>
      <c r="WTK3" s="84"/>
      <c r="WTL3" s="84"/>
      <c r="WTM3" s="84"/>
      <c r="WTN3" s="84"/>
      <c r="WTO3" s="84"/>
      <c r="WTP3" s="84"/>
      <c r="WTQ3" s="84"/>
      <c r="WTR3" s="84"/>
      <c r="WTS3" s="84"/>
      <c r="WTT3" s="84"/>
      <c r="WTU3" s="84"/>
      <c r="WTV3" s="84"/>
      <c r="WTW3" s="84"/>
      <c r="WTX3" s="84"/>
      <c r="WTY3" s="84"/>
      <c r="WTZ3" s="84"/>
      <c r="WUA3" s="84"/>
      <c r="WUB3" s="84"/>
      <c r="WUC3" s="84"/>
      <c r="WUD3" s="84"/>
      <c r="WUE3" s="84"/>
      <c r="WUF3" s="84"/>
      <c r="WUG3" s="84"/>
      <c r="WUH3" s="84"/>
      <c r="WUI3" s="84"/>
      <c r="WUJ3" s="84"/>
      <c r="WUK3" s="84"/>
      <c r="WUL3" s="84"/>
      <c r="WUM3" s="84"/>
      <c r="WUN3" s="84"/>
      <c r="WUO3" s="84"/>
      <c r="WUP3" s="84"/>
      <c r="WUQ3" s="84"/>
      <c r="WUR3" s="84"/>
      <c r="WUS3" s="84"/>
      <c r="WUT3" s="84"/>
      <c r="WUU3" s="84"/>
      <c r="WUV3" s="84"/>
      <c r="WUW3" s="84"/>
      <c r="WUX3" s="84"/>
      <c r="WUY3" s="84"/>
      <c r="WUZ3" s="84"/>
      <c r="WVA3" s="84"/>
      <c r="WVB3" s="84"/>
      <c r="WVC3" s="84"/>
      <c r="WVD3" s="84"/>
      <c r="WVE3" s="84"/>
      <c r="WVF3" s="84"/>
      <c r="WVG3" s="84"/>
      <c r="WVH3" s="84"/>
      <c r="WVI3" s="84"/>
      <c r="WVJ3" s="84"/>
      <c r="WVK3" s="84"/>
      <c r="WVL3" s="84"/>
      <c r="WVM3" s="84"/>
      <c r="WVN3" s="84"/>
      <c r="WVO3" s="84"/>
      <c r="WVP3" s="84"/>
      <c r="WVQ3" s="84"/>
      <c r="WVR3" s="84"/>
      <c r="WVS3" s="84"/>
      <c r="WVT3" s="84"/>
      <c r="WVU3" s="84"/>
      <c r="WVV3" s="84"/>
      <c r="WVW3" s="84"/>
      <c r="WVX3" s="84"/>
      <c r="WVY3" s="84"/>
      <c r="WVZ3" s="84"/>
      <c r="WWA3" s="84"/>
      <c r="WWB3" s="84"/>
      <c r="WWC3" s="84"/>
      <c r="WWD3" s="84"/>
      <c r="WWE3" s="84"/>
      <c r="WWF3" s="84"/>
      <c r="WWG3" s="84"/>
      <c r="WWH3" s="84"/>
      <c r="WWI3" s="84"/>
      <c r="WWJ3" s="84"/>
      <c r="WWK3" s="84"/>
      <c r="WWL3" s="84"/>
      <c r="WWM3" s="84"/>
      <c r="WWN3" s="84"/>
      <c r="WWO3" s="84"/>
      <c r="WWP3" s="84"/>
      <c r="WWQ3" s="84"/>
      <c r="WWR3" s="84"/>
      <c r="WWS3" s="84"/>
      <c r="WWT3" s="84"/>
      <c r="WWU3" s="84"/>
      <c r="WWV3" s="84"/>
      <c r="WWW3" s="84"/>
      <c r="WWX3" s="84"/>
      <c r="WWY3" s="84"/>
      <c r="WWZ3" s="84"/>
      <c r="WXA3" s="84"/>
      <c r="WXB3" s="84"/>
      <c r="WXC3" s="84"/>
      <c r="WXD3" s="84"/>
      <c r="WXE3" s="84"/>
      <c r="WXF3" s="84"/>
      <c r="WXG3" s="84"/>
      <c r="WXH3" s="84"/>
      <c r="WXI3" s="84"/>
      <c r="WXJ3" s="84"/>
      <c r="WXK3" s="84"/>
      <c r="WXL3" s="84"/>
      <c r="WXM3" s="84"/>
      <c r="WXN3" s="84"/>
      <c r="WXO3" s="84"/>
      <c r="WXP3" s="84"/>
      <c r="WXQ3" s="84"/>
      <c r="WXR3" s="84"/>
      <c r="WXS3" s="84"/>
      <c r="WXT3" s="84"/>
      <c r="WXU3" s="84"/>
      <c r="WXV3" s="84"/>
      <c r="WXW3" s="84"/>
      <c r="WXX3" s="84"/>
      <c r="WXY3" s="84"/>
      <c r="WXZ3" s="84"/>
      <c r="WYA3" s="84"/>
      <c r="WYB3" s="84"/>
      <c r="WYC3" s="84"/>
      <c r="WYD3" s="84"/>
      <c r="WYE3" s="84"/>
      <c r="WYF3" s="84"/>
      <c r="WYG3" s="84"/>
      <c r="WYH3" s="84"/>
      <c r="WYI3" s="84"/>
      <c r="WYJ3" s="84"/>
      <c r="WYK3" s="84"/>
      <c r="WYL3" s="84"/>
      <c r="WYM3" s="84"/>
      <c r="WYN3" s="84"/>
      <c r="WYO3" s="84"/>
      <c r="WYP3" s="84"/>
      <c r="WYQ3" s="84"/>
      <c r="WYR3" s="84"/>
      <c r="WYS3" s="84"/>
      <c r="WYT3" s="84"/>
      <c r="WYU3" s="84"/>
      <c r="WYV3" s="84"/>
      <c r="WYW3" s="84"/>
      <c r="WYX3" s="84"/>
      <c r="WYY3" s="84"/>
      <c r="WYZ3" s="84"/>
      <c r="WZA3" s="84"/>
      <c r="WZB3" s="84"/>
      <c r="WZC3" s="84"/>
      <c r="WZD3" s="84"/>
      <c r="WZE3" s="84"/>
      <c r="WZF3" s="84"/>
      <c r="WZG3" s="84"/>
      <c r="WZH3" s="84"/>
      <c r="WZI3" s="84"/>
      <c r="WZJ3" s="84"/>
      <c r="WZK3" s="84"/>
      <c r="WZL3" s="84"/>
      <c r="WZM3" s="84"/>
      <c r="WZN3" s="84"/>
      <c r="WZO3" s="84"/>
      <c r="WZP3" s="84"/>
      <c r="WZQ3" s="84"/>
      <c r="WZR3" s="84"/>
      <c r="WZS3" s="84"/>
      <c r="WZT3" s="84"/>
      <c r="WZU3" s="84"/>
      <c r="WZV3" s="84"/>
      <c r="WZW3" s="84"/>
      <c r="WZX3" s="84"/>
      <c r="WZY3" s="84"/>
      <c r="WZZ3" s="84"/>
      <c r="XAA3" s="84"/>
      <c r="XAB3" s="84"/>
      <c r="XAC3" s="84"/>
      <c r="XAD3" s="84"/>
      <c r="XAE3" s="84"/>
      <c r="XAF3" s="84"/>
      <c r="XAG3" s="84"/>
      <c r="XAH3" s="84"/>
      <c r="XAI3" s="84"/>
      <c r="XAJ3" s="84"/>
      <c r="XAK3" s="84"/>
      <c r="XAL3" s="84"/>
      <c r="XAM3" s="84"/>
      <c r="XAN3" s="84"/>
      <c r="XAO3" s="84"/>
      <c r="XAP3" s="84"/>
      <c r="XAQ3" s="84"/>
      <c r="XAR3" s="84"/>
      <c r="XAS3" s="84"/>
      <c r="XAT3" s="84"/>
      <c r="XAU3" s="84"/>
      <c r="XAV3" s="84"/>
      <c r="XAW3" s="84"/>
      <c r="XAX3" s="84"/>
      <c r="XAY3" s="84"/>
      <c r="XAZ3" s="84"/>
      <c r="XBA3" s="84"/>
      <c r="XBB3" s="84"/>
      <c r="XBC3" s="84"/>
      <c r="XBD3" s="84"/>
      <c r="XBE3" s="84"/>
      <c r="XBF3" s="84"/>
      <c r="XBG3" s="84"/>
      <c r="XBH3" s="84"/>
      <c r="XBI3" s="84"/>
      <c r="XBJ3" s="84"/>
      <c r="XBK3" s="84"/>
      <c r="XBL3" s="84"/>
      <c r="XBM3" s="84"/>
      <c r="XBN3" s="84"/>
      <c r="XBO3" s="84"/>
      <c r="XBP3" s="84"/>
      <c r="XBQ3" s="84"/>
      <c r="XBR3" s="84"/>
      <c r="XBS3" s="84"/>
      <c r="XBT3" s="84"/>
      <c r="XBU3" s="84"/>
      <c r="XBV3" s="84"/>
      <c r="XBW3" s="84"/>
      <c r="XBX3" s="84"/>
      <c r="XBY3" s="84"/>
      <c r="XBZ3" s="84"/>
      <c r="XCA3" s="84"/>
      <c r="XCB3" s="84"/>
      <c r="XCC3" s="84"/>
      <c r="XCD3" s="84"/>
      <c r="XCE3" s="84"/>
      <c r="XCF3" s="84"/>
      <c r="XCG3" s="84"/>
      <c r="XCH3" s="84"/>
      <c r="XCI3" s="84"/>
      <c r="XCJ3" s="84"/>
      <c r="XCK3" s="84"/>
      <c r="XCL3" s="84"/>
      <c r="XCM3" s="84"/>
      <c r="XCN3" s="84"/>
      <c r="XCO3" s="84"/>
      <c r="XCP3" s="84"/>
      <c r="XCQ3" s="84"/>
      <c r="XCR3" s="84"/>
      <c r="XCS3" s="84"/>
      <c r="XCT3" s="84"/>
      <c r="XCU3" s="84"/>
      <c r="XCV3" s="84"/>
      <c r="XCW3" s="84"/>
      <c r="XCX3" s="84"/>
      <c r="XCY3" s="84"/>
      <c r="XCZ3" s="84"/>
      <c r="XDA3" s="84"/>
      <c r="XDB3" s="84"/>
      <c r="XDC3" s="84"/>
      <c r="XDD3" s="84"/>
      <c r="XDE3" s="84"/>
      <c r="XDF3" s="84"/>
      <c r="XDG3" s="84"/>
      <c r="XDH3" s="84"/>
      <c r="XDI3" s="84"/>
      <c r="XDJ3" s="84"/>
      <c r="XDK3" s="84"/>
      <c r="XDL3" s="84"/>
      <c r="XDM3" s="84"/>
      <c r="XDN3" s="84"/>
      <c r="XDO3" s="84"/>
      <c r="XDP3" s="84"/>
      <c r="XDQ3" s="84"/>
      <c r="XDR3" s="84"/>
      <c r="XDS3" s="84"/>
      <c r="XDT3" s="84"/>
      <c r="XDU3" s="84"/>
      <c r="XDV3" s="84"/>
      <c r="XDW3" s="84"/>
      <c r="XDX3" s="84"/>
      <c r="XDY3" s="84"/>
      <c r="XDZ3" s="84"/>
      <c r="XEA3" s="84"/>
      <c r="XEB3" s="84"/>
      <c r="XEC3" s="84"/>
      <c r="XED3" s="84"/>
      <c r="XEE3" s="84"/>
      <c r="XEF3" s="84"/>
      <c r="XEG3" s="84"/>
      <c r="XEH3" s="84"/>
      <c r="XEI3" s="84"/>
      <c r="XEJ3" s="84"/>
      <c r="XEK3" s="84"/>
      <c r="XEL3" s="84"/>
      <c r="XEM3" s="84"/>
      <c r="XEN3" s="84"/>
      <c r="XEO3" s="84"/>
      <c r="XEP3" s="84"/>
      <c r="XEQ3" s="84"/>
      <c r="XER3" s="84"/>
      <c r="XES3" s="84"/>
      <c r="XET3" s="84"/>
      <c r="XEU3" s="84"/>
      <c r="XEV3" s="84"/>
      <c r="XEW3" s="84"/>
      <c r="XEX3" s="84"/>
      <c r="XEY3" s="84"/>
      <c r="XEZ3" s="84"/>
      <c r="XFA3" s="84"/>
      <c r="XFB3" s="84"/>
      <c r="XFC3" s="84"/>
      <c r="XFD3" s="84"/>
    </row>
    <row r="4" spans="2:16384" ht="42" x14ac:dyDescent="0.3">
      <c r="C4" s="16" t="s">
        <v>60</v>
      </c>
      <c r="D4" s="16" t="s">
        <v>61</v>
      </c>
      <c r="E4" s="16" t="s">
        <v>183</v>
      </c>
      <c r="H4" s="187">
        <f>L4/100/100*N4</f>
        <v>8.4</v>
      </c>
      <c r="I4" s="14" t="s">
        <v>194</v>
      </c>
      <c r="K4" s="19" t="s">
        <v>188</v>
      </c>
      <c r="L4" s="188">
        <v>112</v>
      </c>
      <c r="M4" s="19" t="s">
        <v>187</v>
      </c>
      <c r="N4" s="207">
        <v>750</v>
      </c>
      <c r="T4" s="19"/>
      <c r="U4" s="168" t="s">
        <v>586</v>
      </c>
      <c r="V4" s="19"/>
      <c r="X4" s="19"/>
      <c r="Z4" s="20" t="s">
        <v>186</v>
      </c>
    </row>
    <row r="5" spans="2:16384" ht="28" x14ac:dyDescent="0.3">
      <c r="C5" s="16" t="s">
        <v>60</v>
      </c>
      <c r="D5" s="16" t="s">
        <v>185</v>
      </c>
      <c r="H5" s="187">
        <f>L4*L5/100/100+N5*P5*R5/100+T5*N7/100</f>
        <v>0.12327540000000001</v>
      </c>
      <c r="I5" s="14" t="s">
        <v>194</v>
      </c>
      <c r="K5" s="19" t="s">
        <v>587</v>
      </c>
      <c r="L5" s="188">
        <v>3.5</v>
      </c>
      <c r="M5" s="19" t="s">
        <v>189</v>
      </c>
      <c r="N5" s="192">
        <v>0.2</v>
      </c>
      <c r="O5" s="19" t="s">
        <v>190</v>
      </c>
      <c r="P5" s="208">
        <v>0.9</v>
      </c>
      <c r="Q5" s="19" t="s">
        <v>585</v>
      </c>
      <c r="R5" s="209">
        <f>(2.348+0.75)</f>
        <v>3.0979999999999999</v>
      </c>
      <c r="S5" s="19" t="s">
        <v>191</v>
      </c>
      <c r="T5" s="191">
        <v>0.23</v>
      </c>
      <c r="U5" s="14" t="s">
        <v>589</v>
      </c>
      <c r="Z5" s="16" t="s">
        <v>192</v>
      </c>
    </row>
    <row r="6" spans="2:16384" ht="42" x14ac:dyDescent="0.3">
      <c r="C6" s="16" t="s">
        <v>60</v>
      </c>
      <c r="D6" s="16" t="s">
        <v>62</v>
      </c>
      <c r="H6" s="187">
        <f>P6/100*L6*N6</f>
        <v>4.0956000000000006E-2</v>
      </c>
      <c r="I6" s="14" t="s">
        <v>194</v>
      </c>
      <c r="K6" s="19" t="s">
        <v>195</v>
      </c>
      <c r="L6" s="188">
        <v>1.2E-2</v>
      </c>
      <c r="M6" s="19" t="s">
        <v>193</v>
      </c>
      <c r="N6" s="191">
        <v>34.130000000000003</v>
      </c>
      <c r="O6" s="19" t="s">
        <v>197</v>
      </c>
      <c r="P6" s="207">
        <v>10</v>
      </c>
      <c r="U6" s="14" t="s">
        <v>588</v>
      </c>
      <c r="Y6" s="14"/>
      <c r="Z6" s="14" t="s">
        <v>196</v>
      </c>
    </row>
    <row r="7" spans="2:16384" ht="70" x14ac:dyDescent="0.3">
      <c r="C7" s="16" t="s">
        <v>60</v>
      </c>
      <c r="D7" s="16" t="s">
        <v>63</v>
      </c>
      <c r="H7" s="187">
        <f>L7*N7</f>
        <v>0.51195000000000002</v>
      </c>
      <c r="I7" s="14" t="s">
        <v>198</v>
      </c>
      <c r="K7" s="19" t="s">
        <v>584</v>
      </c>
      <c r="L7" s="188">
        <v>1.4999999999999999E-2</v>
      </c>
      <c r="M7" s="19" t="s">
        <v>193</v>
      </c>
      <c r="N7" s="191">
        <v>34.130000000000003</v>
      </c>
      <c r="P7" s="18"/>
      <c r="U7" s="14" t="s">
        <v>590</v>
      </c>
      <c r="Z7" s="14" t="s">
        <v>196</v>
      </c>
    </row>
    <row r="9" spans="2:16384" ht="13.9" customHeight="1" x14ac:dyDescent="0.3">
      <c r="C9" s="16" t="s">
        <v>217</v>
      </c>
      <c r="D9" s="16" t="s">
        <v>219</v>
      </c>
      <c r="H9" s="188">
        <v>55</v>
      </c>
      <c r="I9" s="14" t="s">
        <v>216</v>
      </c>
      <c r="K9" s="14" t="s">
        <v>516</v>
      </c>
      <c r="Z9" s="20" t="s">
        <v>222</v>
      </c>
    </row>
    <row r="10" spans="2:16384" ht="13.9" customHeight="1" x14ac:dyDescent="0.3">
      <c r="C10" s="16" t="s">
        <v>217</v>
      </c>
      <c r="D10" s="16" t="s">
        <v>220</v>
      </c>
      <c r="H10" s="188">
        <v>60</v>
      </c>
      <c r="I10" s="14" t="s">
        <v>216</v>
      </c>
      <c r="K10" s="14" t="s">
        <v>516</v>
      </c>
      <c r="Z10" s="20" t="s">
        <v>222</v>
      </c>
    </row>
    <row r="11" spans="2:16384" ht="13.9" customHeight="1" x14ac:dyDescent="0.3">
      <c r="C11" s="16" t="s">
        <v>217</v>
      </c>
      <c r="D11" s="16" t="s">
        <v>223</v>
      </c>
      <c r="H11" s="189">
        <v>471.27</v>
      </c>
      <c r="I11" s="14" t="s">
        <v>216</v>
      </c>
      <c r="K11" s="14" t="s">
        <v>517</v>
      </c>
      <c r="Z11" s="20" t="s">
        <v>224</v>
      </c>
    </row>
    <row r="12" spans="2:16384" ht="13.9" customHeight="1" x14ac:dyDescent="0.3">
      <c r="C12" s="16" t="s">
        <v>217</v>
      </c>
      <c r="D12" s="16" t="s">
        <v>221</v>
      </c>
      <c r="H12" s="188">
        <v>16</v>
      </c>
      <c r="I12" s="14" t="s">
        <v>216</v>
      </c>
      <c r="K12" s="14" t="s">
        <v>239</v>
      </c>
      <c r="Z12" s="20" t="s">
        <v>225</v>
      </c>
    </row>
    <row r="13" spans="2:16384" ht="13.9" customHeight="1" x14ac:dyDescent="0.3">
      <c r="C13" s="16" t="s">
        <v>217</v>
      </c>
      <c r="D13" s="16" t="s">
        <v>256</v>
      </c>
      <c r="H13" s="188">
        <v>60</v>
      </c>
      <c r="I13" s="14" t="s">
        <v>216</v>
      </c>
      <c r="K13" s="14" t="s">
        <v>518</v>
      </c>
      <c r="Z13" s="20"/>
    </row>
    <row r="14" spans="2:16384" ht="13.9" customHeight="1" x14ac:dyDescent="0.3">
      <c r="C14" s="16" t="s">
        <v>217</v>
      </c>
      <c r="D14" s="16" t="s">
        <v>260</v>
      </c>
      <c r="H14" s="188">
        <v>2.6890000000000001</v>
      </c>
      <c r="I14" s="14" t="s">
        <v>266</v>
      </c>
      <c r="K14" s="14" t="s">
        <v>239</v>
      </c>
      <c r="Z14" s="20"/>
    </row>
    <row r="15" spans="2:16384" ht="13.9" customHeight="1" x14ac:dyDescent="0.3">
      <c r="C15" s="16" t="s">
        <v>217</v>
      </c>
      <c r="D15" s="16" t="s">
        <v>265</v>
      </c>
      <c r="H15" s="188">
        <v>2.3479999999999999</v>
      </c>
      <c r="I15" s="14" t="s">
        <v>266</v>
      </c>
      <c r="K15" s="14" t="s">
        <v>239</v>
      </c>
      <c r="Z15" s="20"/>
    </row>
    <row r="16" spans="2:16384" ht="13.9" customHeight="1" x14ac:dyDescent="0.3">
      <c r="C16" s="16" t="s">
        <v>217</v>
      </c>
      <c r="D16" s="16" t="s">
        <v>261</v>
      </c>
      <c r="H16" s="188">
        <v>0</v>
      </c>
      <c r="I16" s="14" t="s">
        <v>159</v>
      </c>
      <c r="K16" s="14" t="s">
        <v>239</v>
      </c>
      <c r="Z16" s="20"/>
    </row>
    <row r="17" spans="3:26" ht="13.9" customHeight="1" x14ac:dyDescent="0.3">
      <c r="C17" s="16" t="s">
        <v>217</v>
      </c>
      <c r="D17" s="16" t="s">
        <v>262</v>
      </c>
      <c r="H17" s="188">
        <v>0.65500000000000003</v>
      </c>
      <c r="I17" s="14" t="s">
        <v>266</v>
      </c>
      <c r="K17" s="14" t="s">
        <v>239</v>
      </c>
      <c r="Z17" s="20"/>
    </row>
    <row r="18" spans="3:26" ht="13.9" customHeight="1" x14ac:dyDescent="0.3">
      <c r="C18" s="16" t="s">
        <v>217</v>
      </c>
      <c r="D18" s="16" t="s">
        <v>263</v>
      </c>
      <c r="H18" s="188">
        <v>0.75</v>
      </c>
      <c r="I18" s="14" t="s">
        <v>266</v>
      </c>
      <c r="K18" s="14" t="s">
        <v>239</v>
      </c>
      <c r="Z18" s="20"/>
    </row>
    <row r="19" spans="3:26" ht="13.9" customHeight="1" x14ac:dyDescent="0.3">
      <c r="C19" s="16" t="s">
        <v>217</v>
      </c>
      <c r="D19" s="16" t="s">
        <v>264</v>
      </c>
      <c r="H19" s="188">
        <v>0.93200000000000005</v>
      </c>
      <c r="I19" s="14" t="s">
        <v>159</v>
      </c>
      <c r="K19" s="14" t="s">
        <v>239</v>
      </c>
      <c r="Z19" s="20"/>
    </row>
    <row r="20" spans="3:26" ht="13.9" customHeight="1" x14ac:dyDescent="0.3">
      <c r="C20" s="16" t="s">
        <v>217</v>
      </c>
      <c r="D20" s="16" t="s">
        <v>304</v>
      </c>
      <c r="H20" s="190">
        <v>2.5539999999999998</v>
      </c>
      <c r="I20" s="14" t="s">
        <v>266</v>
      </c>
      <c r="J20" s="21">
        <f>H20+H21</f>
        <v>3.2319999999999998</v>
      </c>
      <c r="K20" s="14" t="s">
        <v>586</v>
      </c>
    </row>
    <row r="21" spans="3:26" ht="13.9" customHeight="1" x14ac:dyDescent="0.3">
      <c r="C21" s="16" t="s">
        <v>217</v>
      </c>
      <c r="D21" s="16" t="s">
        <v>305</v>
      </c>
      <c r="H21" s="188">
        <v>0.67800000000000005</v>
      </c>
      <c r="I21" s="14" t="s">
        <v>159</v>
      </c>
      <c r="K21" s="14" t="s">
        <v>308</v>
      </c>
    </row>
    <row r="22" spans="3:26" ht="13.9" customHeight="1" x14ac:dyDescent="0.3">
      <c r="C22" s="16" t="s">
        <v>217</v>
      </c>
      <c r="D22" s="16" t="s">
        <v>306</v>
      </c>
      <c r="H22" s="190">
        <v>2.5539999999999998</v>
      </c>
      <c r="I22" s="14" t="s">
        <v>266</v>
      </c>
      <c r="J22" s="21">
        <f>H22+H23</f>
        <v>3.2319999999999998</v>
      </c>
      <c r="K22" s="14" t="s">
        <v>586</v>
      </c>
    </row>
    <row r="23" spans="3:26" ht="13.9" customHeight="1" x14ac:dyDescent="0.3">
      <c r="C23" s="16" t="s">
        <v>217</v>
      </c>
      <c r="D23" s="16" t="s">
        <v>307</v>
      </c>
      <c r="H23" s="188">
        <v>0.67800000000000005</v>
      </c>
      <c r="I23" s="14" t="s">
        <v>266</v>
      </c>
      <c r="K23" s="14" t="s">
        <v>621</v>
      </c>
    </row>
    <row r="24" spans="3:26" ht="13.9" customHeight="1" x14ac:dyDescent="0.3">
      <c r="C24" s="16" t="s">
        <v>217</v>
      </c>
      <c r="D24" s="16" t="s">
        <v>312</v>
      </c>
      <c r="H24" s="188">
        <v>0</v>
      </c>
      <c r="I24" s="14" t="s">
        <v>216</v>
      </c>
      <c r="K24" s="14" t="s">
        <v>518</v>
      </c>
    </row>
    <row r="25" spans="3:26" ht="13.9" customHeight="1" x14ac:dyDescent="0.3">
      <c r="C25" s="16" t="s">
        <v>217</v>
      </c>
      <c r="D25" s="16" t="s">
        <v>313</v>
      </c>
      <c r="H25" s="188">
        <v>0</v>
      </c>
      <c r="I25" s="14" t="s">
        <v>159</v>
      </c>
      <c r="K25" s="14" t="s">
        <v>519</v>
      </c>
    </row>
    <row r="28" spans="3:26" ht="56" x14ac:dyDescent="0.3">
      <c r="C28" s="16" t="s">
        <v>182</v>
      </c>
      <c r="D28" s="16" t="s">
        <v>227</v>
      </c>
      <c r="H28" s="21">
        <f>N28*L28</f>
        <v>0.22753333333333334</v>
      </c>
      <c r="I28" s="14" t="s">
        <v>228</v>
      </c>
      <c r="K28" s="19" t="s">
        <v>624</v>
      </c>
      <c r="L28" s="190">
        <f>0.007/1.05</f>
        <v>6.6666666666666662E-3</v>
      </c>
      <c r="M28" s="19" t="s">
        <v>193</v>
      </c>
      <c r="N28" s="191">
        <v>34.130000000000003</v>
      </c>
      <c r="P28" s="14" t="s">
        <v>520</v>
      </c>
    </row>
    <row r="29" spans="3:26" ht="13.9" customHeight="1" x14ac:dyDescent="0.3">
      <c r="C29" s="16" t="s">
        <v>182</v>
      </c>
      <c r="D29" s="16" t="s">
        <v>521</v>
      </c>
      <c r="H29" s="192">
        <f>1500*1.05*0.006</f>
        <v>9.4500000000000011</v>
      </c>
      <c r="I29" s="14" t="s">
        <v>228</v>
      </c>
      <c r="P29" s="14" t="s">
        <v>562</v>
      </c>
    </row>
    <row r="30" spans="3:26" ht="13.9" customHeight="1" x14ac:dyDescent="0.3">
      <c r="C30" s="16" t="s">
        <v>182</v>
      </c>
      <c r="D30" s="16" t="s">
        <v>561</v>
      </c>
      <c r="H30" s="189">
        <f>(0.005+0.006+0.2+0.004+0.002+0.02)/7*1000</f>
        <v>33.857142857142854</v>
      </c>
      <c r="I30" s="14" t="s">
        <v>277</v>
      </c>
      <c r="P30" s="14" t="s">
        <v>563</v>
      </c>
    </row>
    <row r="31" spans="3:26" ht="13.9" customHeight="1" x14ac:dyDescent="0.3">
      <c r="C31" s="16" t="s">
        <v>230</v>
      </c>
      <c r="D31" s="16" t="s">
        <v>229</v>
      </c>
      <c r="H31" s="192">
        <f>L31*1000*N31</f>
        <v>9.4500000000000011</v>
      </c>
      <c r="I31" s="14" t="s">
        <v>277</v>
      </c>
      <c r="K31" s="19" t="s">
        <v>232</v>
      </c>
      <c r="L31" s="188">
        <v>6.0000000000000001E-3</v>
      </c>
      <c r="M31" s="19" t="s">
        <v>233</v>
      </c>
      <c r="N31" s="192">
        <f>1.5*1.05</f>
        <v>1.5750000000000002</v>
      </c>
      <c r="P31" s="14" t="s">
        <v>105</v>
      </c>
      <c r="Z31" s="14" t="s">
        <v>231</v>
      </c>
    </row>
    <row r="34" spans="3:18" ht="13.9" customHeight="1" x14ac:dyDescent="0.3">
      <c r="C34" s="16" t="s">
        <v>309</v>
      </c>
      <c r="D34" s="16" t="s">
        <v>310</v>
      </c>
      <c r="H34" s="190">
        <v>0.75</v>
      </c>
      <c r="K34" s="14" t="s">
        <v>495</v>
      </c>
    </row>
    <row r="35" spans="3:18" ht="13.9" customHeight="1" x14ac:dyDescent="0.3">
      <c r="C35" s="16" t="s">
        <v>309</v>
      </c>
      <c r="D35" s="16" t="s">
        <v>538</v>
      </c>
      <c r="H35" s="190">
        <v>0.95</v>
      </c>
      <c r="K35" s="14" t="s">
        <v>495</v>
      </c>
    </row>
    <row r="36" spans="3:18" ht="13.9" customHeight="1" x14ac:dyDescent="0.3">
      <c r="C36" s="16" t="s">
        <v>493</v>
      </c>
      <c r="D36" s="16" t="s">
        <v>494</v>
      </c>
      <c r="H36" s="17">
        <v>0.7</v>
      </c>
      <c r="I36" s="14" t="s">
        <v>425</v>
      </c>
      <c r="K36" s="180" t="s">
        <v>496</v>
      </c>
    </row>
    <row r="38" spans="3:18" ht="28" x14ac:dyDescent="0.3">
      <c r="C38" s="16" t="s">
        <v>498</v>
      </c>
      <c r="D38" s="16" t="s">
        <v>242</v>
      </c>
      <c r="E38" s="282">
        <v>1</v>
      </c>
      <c r="M38" s="83" t="s">
        <v>499</v>
      </c>
      <c r="N38" s="190">
        <f>Kalusto!G72</f>
        <v>5.7709999999999997E-2</v>
      </c>
      <c r="O38" s="19" t="s">
        <v>503</v>
      </c>
      <c r="P38" s="190">
        <f>0.02*9.94</f>
        <v>0.1988</v>
      </c>
      <c r="Q38" s="19" t="s">
        <v>500</v>
      </c>
      <c r="R38" s="21">
        <f>H14+H17</f>
        <v>3.3440000000000003</v>
      </c>
    </row>
    <row r="39" spans="3:18" ht="28" x14ac:dyDescent="0.3">
      <c r="C39" s="16" t="s">
        <v>498</v>
      </c>
      <c r="D39" s="16" t="s">
        <v>241</v>
      </c>
      <c r="E39" s="282">
        <f>CEILING(R39/$R$38,0.05)</f>
        <v>1</v>
      </c>
      <c r="O39" s="19" t="s">
        <v>502</v>
      </c>
      <c r="P39" s="190">
        <f>(0.02*120%)*8.89</f>
        <v>0.21336000000000002</v>
      </c>
      <c r="Q39" s="19" t="s">
        <v>500</v>
      </c>
      <c r="R39" s="21">
        <f>(H15+H18)*(P39/P38)</f>
        <v>3.3248957746478878</v>
      </c>
    </row>
    <row r="40" spans="3:18" ht="28" x14ac:dyDescent="0.3">
      <c r="C40" s="16" t="s">
        <v>498</v>
      </c>
      <c r="D40" s="16" t="s">
        <v>501</v>
      </c>
      <c r="E40" s="282">
        <f>CEILING(R40/$R$38,0.05)</f>
        <v>0.2</v>
      </c>
      <c r="O40" s="19" t="s">
        <v>502</v>
      </c>
      <c r="P40" s="190">
        <f>80/(40*100)*6.11</f>
        <v>0.1222</v>
      </c>
      <c r="Q40" s="19" t="s">
        <v>500</v>
      </c>
      <c r="R40" s="21">
        <f>(H16+H19)*(P40/P38)</f>
        <v>0.5728893360160966</v>
      </c>
    </row>
    <row r="41" spans="3:18" ht="28" x14ac:dyDescent="0.3">
      <c r="C41" s="16" t="s">
        <v>498</v>
      </c>
      <c r="D41" s="16" t="s">
        <v>218</v>
      </c>
      <c r="E41" s="282">
        <f>CEILING(R41/$R$38,0.05)</f>
        <v>0.15000000000000002</v>
      </c>
      <c r="O41" s="19" t="s">
        <v>502</v>
      </c>
      <c r="P41" s="190">
        <v>1.2</v>
      </c>
      <c r="Q41" s="19" t="s">
        <v>500</v>
      </c>
      <c r="R41" s="21">
        <f>(H10/1000+H12/1000)*(P41/P38)</f>
        <v>0.45875251509054321</v>
      </c>
    </row>
  </sheetData>
  <hyperlinks>
    <hyperlink ref="Z4" r:id="rId1" xr:uid="{EEFBDD01-B03D-4120-A574-68D5716B1A5D}"/>
    <hyperlink ref="Z9" r:id="rId2" xr:uid="{392D544A-5C24-4DFC-B7DD-E810CBE98665}"/>
    <hyperlink ref="Z10" r:id="rId3" xr:uid="{0222773C-CBD5-48D7-AA6E-5473931098E2}"/>
    <hyperlink ref="Z11" r:id="rId4" xr:uid="{53CAEAC4-DA8C-4A2E-A809-6D57596C5AF6}"/>
    <hyperlink ref="Z12" r:id="rId5" xr:uid="{04EA0461-9B48-4E93-8E25-22A9491A9353}"/>
    <hyperlink ref="K36" r:id="rId6" xr:uid="{A7927AFB-7020-46B7-97D9-67AA24FCD869}"/>
  </hyperlinks>
  <pageMargins left="0.70866141732283472" right="0.70866141732283472" top="0.74803149606299213" bottom="0.74803149606299213" header="0.31496062992125984" footer="0.31496062992125984"/>
  <pageSetup paperSize="8" scale="75" orientation="landscape" verticalDpi="0" r:id="rId7"/>
  <headerFooter>
    <oddHeader>&amp;L&amp;"-,Lihavoitu"&amp;12PIIP-laskentatyökalu&amp;RKertoimet: Muut
Sivu &amp;P/&amp;N</oddHeader>
    <oddFooter>&amp;L&amp;G&amp;R&amp;G</oddFooter>
  </headerFooter>
  <colBreaks count="1" manualBreakCount="1">
    <brk id="16" max="1048575" man="1"/>
  </colBreaks>
  <legacyDrawingHF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187B7-207E-43B6-8D07-7851EDA9F544}">
  <sheetPr codeName="Sheet13">
    <tabColor theme="0" tint="-0.34998626667073579"/>
  </sheetPr>
  <dimension ref="A1:X106"/>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4" x14ac:dyDescent="0.3"/>
  <cols>
    <col min="1" max="1" width="2.75" customWidth="1"/>
    <col min="4" max="4" width="51.08203125" bestFit="1" customWidth="1"/>
    <col min="6" max="6" width="13.83203125" bestFit="1" customWidth="1"/>
    <col min="8" max="8" width="19" bestFit="1" customWidth="1"/>
    <col min="10" max="10" width="18.33203125" bestFit="1" customWidth="1"/>
    <col min="12" max="12" width="19" bestFit="1" customWidth="1"/>
    <col min="14" max="14" width="19" bestFit="1" customWidth="1"/>
    <col min="16" max="16" width="13.08203125" bestFit="1" customWidth="1"/>
    <col min="18" max="18" width="13.75" bestFit="1" customWidth="1"/>
    <col min="20" max="20" width="10.08203125" bestFit="1" customWidth="1"/>
    <col min="22" max="22" width="18" bestFit="1" customWidth="1"/>
    <col min="24" max="24" width="18" bestFit="1" customWidth="1"/>
  </cols>
  <sheetData>
    <row r="1" spans="1:24" s="84" customFormat="1" ht="15.5" x14ac:dyDescent="0.3">
      <c r="A1" s="31"/>
      <c r="B1" s="31"/>
      <c r="C1" s="34"/>
      <c r="E1" s="31"/>
      <c r="F1" s="31"/>
      <c r="G1" s="34"/>
      <c r="I1" s="31"/>
      <c r="J1" s="33"/>
      <c r="K1" s="34"/>
      <c r="L1" s="34"/>
    </row>
    <row r="2" spans="1:24" s="85" customFormat="1" ht="30" x14ac:dyDescent="0.3">
      <c r="A2" s="25"/>
      <c r="B2" s="8" t="s">
        <v>622</v>
      </c>
      <c r="C2" s="27"/>
      <c r="E2" s="25"/>
      <c r="F2" s="25"/>
      <c r="G2" s="27"/>
      <c r="I2" s="25"/>
      <c r="J2" s="26"/>
      <c r="K2" s="27"/>
      <c r="L2" s="27"/>
    </row>
    <row r="3" spans="1:24" x14ac:dyDescent="0.3">
      <c r="B3" s="12" t="s">
        <v>111</v>
      </c>
      <c r="D3" s="12" t="s">
        <v>46</v>
      </c>
      <c r="F3" s="12" t="s">
        <v>109</v>
      </c>
      <c r="H3" s="12" t="s">
        <v>109</v>
      </c>
      <c r="J3" s="12" t="s">
        <v>341</v>
      </c>
      <c r="L3" s="12" t="s">
        <v>50</v>
      </c>
      <c r="N3" s="12" t="s">
        <v>282</v>
      </c>
      <c r="P3" s="12" t="s">
        <v>295</v>
      </c>
      <c r="R3" s="12" t="s">
        <v>297</v>
      </c>
      <c r="T3" s="12" t="s">
        <v>299</v>
      </c>
      <c r="V3" s="12" t="s">
        <v>341</v>
      </c>
      <c r="X3" s="12" t="s">
        <v>540</v>
      </c>
    </row>
    <row r="4" spans="1:24" x14ac:dyDescent="0.3">
      <c r="B4" s="11" t="s">
        <v>6</v>
      </c>
      <c r="D4" s="11" t="s">
        <v>47</v>
      </c>
      <c r="F4" t="s">
        <v>684</v>
      </c>
      <c r="H4" s="11" t="s">
        <v>685</v>
      </c>
      <c r="J4" s="322" t="s">
        <v>242</v>
      </c>
      <c r="L4" s="322" t="s">
        <v>281</v>
      </c>
      <c r="N4" s="11" t="s">
        <v>283</v>
      </c>
      <c r="P4" s="11" t="s">
        <v>296</v>
      </c>
      <c r="R4" s="11" t="s">
        <v>314</v>
      </c>
      <c r="T4" s="11" t="s">
        <v>300</v>
      </c>
      <c r="V4" s="322" t="s">
        <v>242</v>
      </c>
      <c r="X4" s="322" t="s">
        <v>296</v>
      </c>
    </row>
    <row r="5" spans="1:24" x14ac:dyDescent="0.3">
      <c r="B5" s="11" t="s">
        <v>7</v>
      </c>
      <c r="D5" s="11" t="s">
        <v>48</v>
      </c>
      <c r="F5" t="s">
        <v>686</v>
      </c>
      <c r="H5" s="11" t="s">
        <v>687</v>
      </c>
      <c r="J5" s="322" t="s">
        <v>241</v>
      </c>
      <c r="L5" s="322" t="s">
        <v>280</v>
      </c>
      <c r="N5" s="11" t="s">
        <v>289</v>
      </c>
      <c r="P5" s="11" t="s">
        <v>280</v>
      </c>
      <c r="R5" s="11" t="s">
        <v>12</v>
      </c>
      <c r="T5" s="11" t="s">
        <v>301</v>
      </c>
      <c r="V5" s="322" t="s">
        <v>241</v>
      </c>
      <c r="X5" s="322" t="s">
        <v>541</v>
      </c>
    </row>
    <row r="6" spans="1:24" x14ac:dyDescent="0.3">
      <c r="D6" s="11" t="s">
        <v>49</v>
      </c>
      <c r="F6" s="11" t="s">
        <v>688</v>
      </c>
      <c r="H6" s="11" t="s">
        <v>9</v>
      </c>
      <c r="J6" s="322" t="s">
        <v>257</v>
      </c>
      <c r="L6" s="322" t="s">
        <v>316</v>
      </c>
      <c r="N6" s="11" t="s">
        <v>284</v>
      </c>
      <c r="P6" s="11" t="s">
        <v>689</v>
      </c>
      <c r="R6" s="11" t="s">
        <v>311</v>
      </c>
      <c r="T6" s="11" t="s">
        <v>302</v>
      </c>
      <c r="V6" s="322" t="s">
        <v>501</v>
      </c>
      <c r="X6" s="322"/>
    </row>
    <row r="7" spans="1:24" x14ac:dyDescent="0.3">
      <c r="F7" s="11" t="s">
        <v>52</v>
      </c>
      <c r="H7" s="11" t="s">
        <v>157</v>
      </c>
      <c r="J7" s="322" t="s">
        <v>258</v>
      </c>
      <c r="L7" s="322" t="s">
        <v>317</v>
      </c>
      <c r="N7" s="11" t="s">
        <v>285</v>
      </c>
      <c r="R7" s="11" t="s">
        <v>241</v>
      </c>
      <c r="T7" s="11" t="s">
        <v>303</v>
      </c>
      <c r="V7" s="322" t="s">
        <v>218</v>
      </c>
      <c r="X7" s="322"/>
    </row>
    <row r="8" spans="1:24" x14ac:dyDescent="0.3">
      <c r="H8" s="11" t="s">
        <v>51</v>
      </c>
      <c r="J8" s="322" t="s">
        <v>259</v>
      </c>
      <c r="L8" s="322" t="s">
        <v>690</v>
      </c>
      <c r="R8" s="11" t="s">
        <v>242</v>
      </c>
      <c r="V8" s="322"/>
    </row>
    <row r="9" spans="1:24" x14ac:dyDescent="0.3">
      <c r="J9" s="322" t="s">
        <v>218</v>
      </c>
      <c r="V9" s="322"/>
    </row>
    <row r="10" spans="1:24" x14ac:dyDescent="0.3">
      <c r="J10" s="16"/>
      <c r="V10" s="322"/>
    </row>
    <row r="11" spans="1:24" x14ac:dyDescent="0.3">
      <c r="J11" s="16"/>
    </row>
    <row r="12" spans="1:24" x14ac:dyDescent="0.3">
      <c r="F12" s="3" t="s">
        <v>646</v>
      </c>
      <c r="G12" s="3"/>
      <c r="H12" s="3" t="s">
        <v>433</v>
      </c>
      <c r="I12" s="3"/>
      <c r="J12" s="3" t="s">
        <v>57</v>
      </c>
      <c r="K12" s="3"/>
      <c r="L12" s="3" t="s">
        <v>432</v>
      </c>
      <c r="M12" s="3"/>
      <c r="N12" s="3" t="s">
        <v>422</v>
      </c>
      <c r="O12" s="3"/>
    </row>
    <row r="14" spans="1:24" x14ac:dyDescent="0.3">
      <c r="D14" s="12" t="s">
        <v>330</v>
      </c>
      <c r="F14" s="114" t="s">
        <v>111</v>
      </c>
      <c r="H14" s="114" t="s">
        <v>111</v>
      </c>
      <c r="J14" s="114" t="s">
        <v>111</v>
      </c>
      <c r="L14" s="114" t="s">
        <v>111</v>
      </c>
      <c r="N14" s="114" t="s">
        <v>111</v>
      </c>
    </row>
    <row r="15" spans="1:24" x14ac:dyDescent="0.3">
      <c r="D15" s="11" t="s">
        <v>331</v>
      </c>
      <c r="F15" s="115" t="str">
        <f>Materiaalit!C25</f>
        <v>Sementti</v>
      </c>
      <c r="G15" s="115" t="s">
        <v>281</v>
      </c>
      <c r="H15" s="115" t="str">
        <f>Materiaalit!C39</f>
        <v>Muoviputket</v>
      </c>
      <c r="I15" s="115" t="s">
        <v>317</v>
      </c>
      <c r="J15" s="115" t="s">
        <v>394</v>
      </c>
      <c r="K15" s="115" t="s">
        <v>317</v>
      </c>
      <c r="L15" s="115" t="s">
        <v>394</v>
      </c>
      <c r="M15" s="115" t="s">
        <v>317</v>
      </c>
      <c r="N15" s="115" t="s">
        <v>394</v>
      </c>
      <c r="O15" s="115" t="s">
        <v>317</v>
      </c>
      <c r="Q15" s="330"/>
    </row>
    <row r="16" spans="1:24" x14ac:dyDescent="0.3">
      <c r="D16" s="11" t="str">
        <f>Kalusto!C44</f>
        <v xml:space="preserve">Jakelukuorma-auto, 6 t, 20 % kuorma, maantieajo  </v>
      </c>
      <c r="F16" s="115" t="str">
        <f>Materiaalit!C26</f>
        <v>Bentoniitti</v>
      </c>
      <c r="G16" s="115" t="s">
        <v>281</v>
      </c>
      <c r="H16" s="115" t="str">
        <f>Materiaalit!C40</f>
        <v>Suodatinkangas</v>
      </c>
      <c r="I16" s="115" t="s">
        <v>690</v>
      </c>
      <c r="J16" s="115" t="s">
        <v>21</v>
      </c>
      <c r="K16" s="115" t="s">
        <v>690</v>
      </c>
      <c r="L16" s="115" t="s">
        <v>21</v>
      </c>
      <c r="M16" s="115" t="s">
        <v>690</v>
      </c>
      <c r="N16" s="115" t="s">
        <v>21</v>
      </c>
      <c r="O16" s="115" t="s">
        <v>690</v>
      </c>
      <c r="Q16" s="330"/>
    </row>
    <row r="17" spans="4:17" x14ac:dyDescent="0.3">
      <c r="D17" s="11" t="str">
        <f>Kalusto!C45</f>
        <v>Jakelukuorma-auto, 6 t, 20 % kuorma, kaupunkiajo</v>
      </c>
      <c r="F17" s="115" t="str">
        <f>Materiaalit!C27</f>
        <v>Savi</v>
      </c>
      <c r="G17" s="115" t="s">
        <v>281</v>
      </c>
      <c r="H17" s="115" t="str">
        <f>Materiaalit!C41</f>
        <v>Salaojasora</v>
      </c>
      <c r="I17" s="115" t="s">
        <v>281</v>
      </c>
      <c r="J17" s="115" t="s">
        <v>399</v>
      </c>
      <c r="K17" s="115" t="s">
        <v>281</v>
      </c>
      <c r="L17" s="115" t="s">
        <v>399</v>
      </c>
      <c r="M17" s="115" t="s">
        <v>281</v>
      </c>
      <c r="N17" s="115" t="s">
        <v>399</v>
      </c>
      <c r="O17" s="115" t="s">
        <v>281</v>
      </c>
      <c r="Q17" s="330"/>
    </row>
    <row r="18" spans="4:17" x14ac:dyDescent="0.3">
      <c r="D18" s="11" t="str">
        <f>Kalusto!C46</f>
        <v>Jakelukuorma-auto, 6 t, 50 % kuorma, maantieajo</v>
      </c>
      <c r="F18" s="115" t="str">
        <f>Materiaalit!C28</f>
        <v>Geomembraani</v>
      </c>
      <c r="G18" s="115" t="s">
        <v>690</v>
      </c>
      <c r="H18" s="115" t="str">
        <f>Materiaalit!C42</f>
        <v>Pontit</v>
      </c>
      <c r="I18" s="115" t="s">
        <v>281</v>
      </c>
      <c r="J18" s="115" t="s">
        <v>400</v>
      </c>
      <c r="K18" s="115" t="s">
        <v>281</v>
      </c>
      <c r="L18" s="115" t="s">
        <v>400</v>
      </c>
      <c r="M18" s="115" t="s">
        <v>281</v>
      </c>
      <c r="N18" s="115" t="s">
        <v>400</v>
      </c>
      <c r="O18" s="115" t="s">
        <v>281</v>
      </c>
      <c r="Q18" s="330"/>
    </row>
    <row r="19" spans="4:17" x14ac:dyDescent="0.3">
      <c r="D19" s="11" t="str">
        <f>Kalusto!C47</f>
        <v>Jakelukuorma-auto, 6 t, 50 % kuorma, kaupunkiajo</v>
      </c>
      <c r="F19" s="115" t="str">
        <f>Materiaalit!C29</f>
        <v>Lentotuhka</v>
      </c>
      <c r="G19" s="115" t="s">
        <v>281</v>
      </c>
      <c r="H19" s="115" t="str">
        <f>Materiaalit!C43</f>
        <v>Bentoniittimatto</v>
      </c>
      <c r="I19" s="115" t="s">
        <v>690</v>
      </c>
      <c r="J19" s="115" t="s">
        <v>22</v>
      </c>
      <c r="K19" s="115" t="s">
        <v>690</v>
      </c>
      <c r="L19" s="115" t="s">
        <v>22</v>
      </c>
      <c r="M19" s="115" t="s">
        <v>690</v>
      </c>
      <c r="N19" s="115" t="s">
        <v>22</v>
      </c>
      <c r="O19" s="115" t="s">
        <v>690</v>
      </c>
      <c r="Q19" s="330"/>
    </row>
    <row r="20" spans="4:17" x14ac:dyDescent="0.3">
      <c r="D20" s="11" t="str">
        <f>Kalusto!C48</f>
        <v>Jakelukuorma-auto, 6 t, 80 % kuorma, maantieajo</v>
      </c>
      <c r="F20" s="115" t="str">
        <f>Materiaalit!C30</f>
        <v>Kuituliete</v>
      </c>
      <c r="G20" s="115" t="s">
        <v>281</v>
      </c>
      <c r="H20" s="115" t="str">
        <f>Materiaalit!C44</f>
        <v>Vetyperoksidi</v>
      </c>
      <c r="I20" s="115" t="s">
        <v>281</v>
      </c>
      <c r="J20" s="115" t="s">
        <v>415</v>
      </c>
      <c r="K20" s="115" t="s">
        <v>281</v>
      </c>
      <c r="L20" s="115" t="s">
        <v>423</v>
      </c>
      <c r="M20" s="115" t="s">
        <v>281</v>
      </c>
      <c r="N20" s="115" t="s">
        <v>423</v>
      </c>
      <c r="O20" s="115" t="s">
        <v>281</v>
      </c>
      <c r="Q20" s="330"/>
    </row>
    <row r="21" spans="4:17" x14ac:dyDescent="0.3">
      <c r="D21" s="11" t="str">
        <f>Kalusto!C49</f>
        <v>Jakelukuorma-auto, 6 t, 80 % kuorma, kaupunkiajo</v>
      </c>
      <c r="F21" s="115" t="str">
        <f>Materiaalit!C31</f>
        <v>Siistausjäte</v>
      </c>
      <c r="G21" s="115" t="s">
        <v>281</v>
      </c>
      <c r="H21" s="115" t="str">
        <f>Materiaalit!C45</f>
        <v>Polysulfidit</v>
      </c>
      <c r="I21" s="115" t="s">
        <v>281</v>
      </c>
      <c r="J21" s="115" t="s">
        <v>416</v>
      </c>
      <c r="K21" s="115" t="s">
        <v>690</v>
      </c>
      <c r="L21" s="115" t="s">
        <v>416</v>
      </c>
      <c r="M21" s="115" t="s">
        <v>690</v>
      </c>
      <c r="N21" s="115" t="s">
        <v>416</v>
      </c>
      <c r="O21" s="115" t="s">
        <v>690</v>
      </c>
      <c r="Q21" s="330"/>
    </row>
    <row r="22" spans="4:17" x14ac:dyDescent="0.3">
      <c r="D22" s="11" t="str">
        <f>Kalusto!C50</f>
        <v>Jakelukuorma-auto, 6 t, 100 % kuorma, maantieajo</v>
      </c>
      <c r="F22" s="115" t="str">
        <f>Materiaalit!C32</f>
        <v>Suodatinkangas</v>
      </c>
      <c r="G22" s="115" t="s">
        <v>690</v>
      </c>
      <c r="H22" s="115" t="str">
        <f>Materiaalit!C46</f>
        <v>Nollarauta</v>
      </c>
      <c r="I22" s="115" t="s">
        <v>281</v>
      </c>
      <c r="J22" s="115" t="s">
        <v>397</v>
      </c>
      <c r="K22" s="115" t="s">
        <v>281</v>
      </c>
      <c r="L22" s="115" t="s">
        <v>421</v>
      </c>
      <c r="M22" s="115" t="s">
        <v>316</v>
      </c>
      <c r="N22" s="115" t="s">
        <v>424</v>
      </c>
      <c r="O22" s="115" t="s">
        <v>689</v>
      </c>
      <c r="Q22" s="330"/>
    </row>
    <row r="23" spans="4:17" x14ac:dyDescent="0.3">
      <c r="D23" s="11" t="str">
        <f>Kalusto!C51</f>
        <v>Jakelukuorma-auto, 6 t, 100 % kuorma, kaupunkiajo</v>
      </c>
      <c r="F23" s="115" t="str">
        <f>Materiaalit!C33</f>
        <v>Huomioverkko</v>
      </c>
      <c r="G23" s="115" t="s">
        <v>281</v>
      </c>
      <c r="H23" s="115" t="str">
        <f>Materiaalit!C47</f>
        <v>Happi</v>
      </c>
      <c r="I23" s="115" t="s">
        <v>281</v>
      </c>
      <c r="J23" s="11" t="s">
        <v>395</v>
      </c>
      <c r="K23" s="115" t="s">
        <v>281</v>
      </c>
      <c r="L23" s="11" t="s">
        <v>420</v>
      </c>
      <c r="M23" s="115" t="s">
        <v>281</v>
      </c>
      <c r="N23" s="11" t="s">
        <v>420</v>
      </c>
      <c r="O23" s="115" t="s">
        <v>281</v>
      </c>
      <c r="Q23" s="330"/>
    </row>
    <row r="24" spans="4:17" x14ac:dyDescent="0.3">
      <c r="D24" s="11" t="str">
        <f>Kalusto!C52</f>
        <v>Jakelukuorma-auto, 15 t, 20 % kuorma, maantieajo</v>
      </c>
      <c r="F24" s="115" t="str">
        <f>Materiaalit!C34</f>
        <v>HDPE-kalvo</v>
      </c>
      <c r="G24" s="115" t="s">
        <v>690</v>
      </c>
      <c r="H24" s="115" t="str">
        <f>Materiaalit!C48</f>
        <v>Lannoitteet</v>
      </c>
      <c r="I24" s="115" t="s">
        <v>281</v>
      </c>
      <c r="J24" s="11" t="s">
        <v>396</v>
      </c>
      <c r="K24" s="115" t="s">
        <v>281</v>
      </c>
      <c r="L24" s="11" t="s">
        <v>428</v>
      </c>
      <c r="M24" s="115" t="s">
        <v>281</v>
      </c>
      <c r="N24" s="11" t="s">
        <v>428</v>
      </c>
      <c r="O24" s="115" t="s">
        <v>281</v>
      </c>
      <c r="Q24" s="330"/>
    </row>
    <row r="25" spans="4:17" x14ac:dyDescent="0.3">
      <c r="D25" s="11" t="str">
        <f>Kalusto!C53</f>
        <v>Jakelukuorma-auto, 15 t, 20 % kuorma, kaupunkiajo</v>
      </c>
      <c r="F25" s="115"/>
      <c r="G25" s="115"/>
      <c r="H25" s="115" t="str">
        <f>Materiaalit!C49</f>
        <v>Aktiivihiili - regeneroitu</v>
      </c>
      <c r="I25" s="115" t="s">
        <v>281</v>
      </c>
      <c r="J25" s="11" t="s">
        <v>409</v>
      </c>
      <c r="K25" s="115" t="s">
        <v>281</v>
      </c>
      <c r="L25" s="11" t="s">
        <v>409</v>
      </c>
      <c r="M25" s="115" t="s">
        <v>281</v>
      </c>
      <c r="N25" s="11" t="s">
        <v>409</v>
      </c>
      <c r="O25" s="115" t="s">
        <v>281</v>
      </c>
      <c r="Q25" s="330"/>
    </row>
    <row r="26" spans="4:17" x14ac:dyDescent="0.3">
      <c r="D26" s="11" t="str">
        <f>Kalusto!C54</f>
        <v>Jakelukuorma-auto, 15 t, 50 % kuorma, maantieajo</v>
      </c>
      <c r="F26" s="11"/>
      <c r="G26" s="115"/>
      <c r="H26" s="115" t="str">
        <f>Materiaalit!C50</f>
        <v>Aktiivihiili - kookos</v>
      </c>
      <c r="I26" s="115" t="s">
        <v>281</v>
      </c>
      <c r="J26" s="11" t="s">
        <v>411</v>
      </c>
      <c r="K26" s="115" t="s">
        <v>281</v>
      </c>
      <c r="L26" s="11" t="s">
        <v>411</v>
      </c>
      <c r="M26" s="115" t="s">
        <v>281</v>
      </c>
      <c r="N26" s="11" t="s">
        <v>411</v>
      </c>
      <c r="O26" s="115" t="s">
        <v>281</v>
      </c>
      <c r="Q26" s="330"/>
    </row>
    <row r="27" spans="4:17" x14ac:dyDescent="0.3">
      <c r="D27" s="11" t="str">
        <f>Kalusto!C55</f>
        <v>Jakelukuorma-auto, 15 t, 50 % kuorma, kaupunkiajo</v>
      </c>
      <c r="F27" s="11"/>
      <c r="G27" s="115"/>
      <c r="H27" s="115" t="str">
        <f>Materiaalit!C51</f>
        <v>Aktiivihiili - hiili</v>
      </c>
      <c r="I27" s="115" t="s">
        <v>281</v>
      </c>
      <c r="J27" s="11" t="s">
        <v>412</v>
      </c>
      <c r="K27" s="115" t="s">
        <v>281</v>
      </c>
      <c r="L27" s="11" t="s">
        <v>412</v>
      </c>
      <c r="M27" s="115" t="s">
        <v>281</v>
      </c>
      <c r="N27" s="11" t="s">
        <v>412</v>
      </c>
      <c r="O27" s="115" t="s">
        <v>281</v>
      </c>
      <c r="Q27" s="330"/>
    </row>
    <row r="28" spans="4:17" x14ac:dyDescent="0.3">
      <c r="D28" s="11" t="str">
        <f>Kalusto!C56</f>
        <v>Jakelukuorma-auto, 15 t, 80 % kuorma, maantieajo</v>
      </c>
      <c r="F28" s="11"/>
      <c r="G28" s="115"/>
      <c r="H28" s="115" t="str">
        <f>Materiaalit!C52</f>
        <v>Biohiili</v>
      </c>
      <c r="I28" s="115" t="s">
        <v>281</v>
      </c>
      <c r="J28" s="11" t="s">
        <v>398</v>
      </c>
      <c r="K28" s="115" t="s">
        <v>281</v>
      </c>
      <c r="L28" s="11" t="s">
        <v>398</v>
      </c>
      <c r="M28" s="115" t="s">
        <v>281</v>
      </c>
      <c r="N28" s="11" t="s">
        <v>398</v>
      </c>
      <c r="O28" s="115" t="s">
        <v>281</v>
      </c>
      <c r="Q28" s="330"/>
    </row>
    <row r="29" spans="4:17" x14ac:dyDescent="0.3">
      <c r="D29" s="11" t="str">
        <f>Kalusto!C57</f>
        <v>Jakelukuorma-auto, 15 t, 80 % kuorma, kaupunkiajo</v>
      </c>
      <c r="F29" s="11"/>
      <c r="G29" s="115"/>
      <c r="H29" s="115" t="str">
        <f>Materiaalit!C53</f>
        <v>HDPE-kalvo</v>
      </c>
      <c r="I29" s="115" t="s">
        <v>690</v>
      </c>
      <c r="J29" s="11"/>
      <c r="K29" s="115"/>
      <c r="L29" s="11"/>
      <c r="M29" s="115"/>
      <c r="N29" s="11"/>
      <c r="O29" s="115"/>
      <c r="Q29" s="330"/>
    </row>
    <row r="30" spans="4:17" x14ac:dyDescent="0.3">
      <c r="D30" s="11" t="str">
        <f>Kalusto!C58</f>
        <v>Jakelukuorma-auto, 15 t, 100 % kuorma, maantieajo</v>
      </c>
      <c r="F30" s="11"/>
      <c r="G30" s="115"/>
      <c r="H30" s="11"/>
      <c r="I30" s="115"/>
      <c r="J30" s="11"/>
      <c r="K30" s="115"/>
      <c r="L30" s="11"/>
      <c r="M30" s="115"/>
      <c r="N30" s="11"/>
      <c r="O30" s="115"/>
      <c r="Q30" s="330"/>
    </row>
    <row r="31" spans="4:17" x14ac:dyDescent="0.3">
      <c r="D31" s="11" t="str">
        <f>Kalusto!C59</f>
        <v>Jakelukuorma-auto, 15 t, 100 % kuorma, kaupunkiajo</v>
      </c>
      <c r="F31" s="11"/>
      <c r="G31" s="115"/>
      <c r="H31" s="11"/>
      <c r="I31" s="115"/>
      <c r="J31" s="11"/>
      <c r="K31" s="115"/>
      <c r="L31" s="11"/>
      <c r="M31" s="115"/>
      <c r="N31" s="11"/>
      <c r="O31" s="115"/>
      <c r="Q31" s="330"/>
    </row>
    <row r="32" spans="4:17" x14ac:dyDescent="0.3">
      <c r="D32" s="11" t="str">
        <f>Kalusto!C60</f>
        <v>Maansiirtoauto, 32 t, 20 % kuorma, maantieajo</v>
      </c>
      <c r="F32" s="11"/>
      <c r="G32" s="115"/>
      <c r="H32" s="11"/>
      <c r="I32" s="115"/>
      <c r="J32" s="11"/>
      <c r="K32" s="115"/>
      <c r="L32" s="11"/>
      <c r="M32" s="115"/>
      <c r="N32" s="11"/>
      <c r="O32" s="115"/>
      <c r="Q32" s="330"/>
    </row>
    <row r="33" spans="4:4" x14ac:dyDescent="0.3">
      <c r="D33" s="11" t="str">
        <f>Kalusto!C61</f>
        <v>Maansiirtoauto, 32 t, 20 % kuorma, kaupunkiajo</v>
      </c>
    </row>
    <row r="34" spans="4:4" x14ac:dyDescent="0.3">
      <c r="D34" s="11" t="str">
        <f>Kalusto!C62</f>
        <v>Maansiirtoauto, 32 t, 50 % kuorma, maantieajo</v>
      </c>
    </row>
    <row r="35" spans="4:4" x14ac:dyDescent="0.3">
      <c r="D35" s="11" t="str">
        <f>Kalusto!C63</f>
        <v>Maansiirtoauto, 32 t, 50 % kuorma, kaupunkiajo</v>
      </c>
    </row>
    <row r="36" spans="4:4" x14ac:dyDescent="0.3">
      <c r="D36" s="11" t="str">
        <f>Kalusto!C64</f>
        <v>Maansiirtoauto, 32 t, 80 % kuorma, maantieajo</v>
      </c>
    </row>
    <row r="37" spans="4:4" x14ac:dyDescent="0.3">
      <c r="D37" s="11" t="str">
        <f>Kalusto!C65</f>
        <v>Maansiirtoauto, 32 t, 80 % kuorma, kaupunkiajo</v>
      </c>
    </row>
    <row r="38" spans="4:4" x14ac:dyDescent="0.3">
      <c r="D38" s="11" t="str">
        <f>Kalusto!C66</f>
        <v>Maansiirtoauto, 32 t, 100 % kuorma, maantieajo</v>
      </c>
    </row>
    <row r="39" spans="4:4" x14ac:dyDescent="0.3">
      <c r="D39" s="11" t="str">
        <f>Kalusto!C67</f>
        <v>Maansiirtoauto, 32 t, 100 % kuorma, kaupunkiajo</v>
      </c>
    </row>
    <row r="40" spans="4:4" x14ac:dyDescent="0.3">
      <c r="D40" s="11" t="str">
        <f>Kalusto!C68</f>
        <v>Puoliperävaunuyhdistelmä, 40 t, 20 % kuorma, maantieajo</v>
      </c>
    </row>
    <row r="41" spans="4:4" x14ac:dyDescent="0.3">
      <c r="D41" s="11" t="str">
        <f>Kalusto!C69</f>
        <v>Puoliperävaunuyhdistelmä, 40 t, 20 % kuorma, kaupunkiajo</v>
      </c>
    </row>
    <row r="42" spans="4:4" x14ac:dyDescent="0.3">
      <c r="D42" s="11" t="str">
        <f>Kalusto!C70</f>
        <v>Puoliperävaunuyhdistelmä, 40 t, 50 % kuorma, maantieajo</v>
      </c>
    </row>
    <row r="43" spans="4:4" x14ac:dyDescent="0.3">
      <c r="D43" s="11" t="str">
        <f>Kalusto!C71</f>
        <v>Puoliperävaunuyhdistelmä, 40 t, 50 % kuorma, kaupunkiajo</v>
      </c>
    </row>
    <row r="44" spans="4:4" x14ac:dyDescent="0.3">
      <c r="D44" s="11" t="str">
        <f>Kalusto!C72</f>
        <v>Puoliperävaunuyhdistelmä, 40 t, 80 % kuorma, maantieajo</v>
      </c>
    </row>
    <row r="45" spans="4:4" x14ac:dyDescent="0.3">
      <c r="D45" s="11" t="str">
        <f>Kalusto!C73</f>
        <v>Puoliperävaunuyhdistelmä, 40 t, 80 % kuorma, kaupunkiajo</v>
      </c>
    </row>
    <row r="46" spans="4:4" x14ac:dyDescent="0.3">
      <c r="D46" s="11" t="str">
        <f>Kalusto!C74</f>
        <v>Puoliperävaunuyhdistelmä, 40 t, 100 % kuorma, maantieajo</v>
      </c>
    </row>
    <row r="47" spans="4:4" x14ac:dyDescent="0.3">
      <c r="D47" s="11" t="str">
        <f>Kalusto!C75</f>
        <v>Puoliperävaunuyhdistelmä, 40 t, 100 % kuorma, kaupunkiajo</v>
      </c>
    </row>
    <row r="48" spans="4:4" x14ac:dyDescent="0.3">
      <c r="D48" s="11" t="str">
        <f>Kalusto!C76</f>
        <v>Täysperävaunuyhdistelmät, 60 t, 20 % kuorma, maantieajo</v>
      </c>
    </row>
    <row r="49" spans="4:4" x14ac:dyDescent="0.3">
      <c r="D49" s="11" t="str">
        <f>Kalusto!C77</f>
        <v>Täysperävaunuyhdistelmät, 60 t, 20 % kuorma, kaupunkiajo</v>
      </c>
    </row>
    <row r="50" spans="4:4" x14ac:dyDescent="0.3">
      <c r="D50" s="11" t="str">
        <f>Kalusto!C78</f>
        <v>Täysperävaunuyhdistelmät, 60 t, 50 % kuorma, maantieajo</v>
      </c>
    </row>
    <row r="51" spans="4:4" x14ac:dyDescent="0.3">
      <c r="D51" s="11" t="str">
        <f>Kalusto!C79</f>
        <v>Täysperävaunuyhdistelmät, 60 t, 50 % kuorma, kaupunkiajo</v>
      </c>
    </row>
    <row r="52" spans="4:4" x14ac:dyDescent="0.3">
      <c r="D52" s="11" t="str">
        <f>Kalusto!C80</f>
        <v>Täysperävaunuyhdistelmät, 60 t, 80 % kuorma, maantieajo</v>
      </c>
    </row>
    <row r="53" spans="4:4" x14ac:dyDescent="0.3">
      <c r="D53" s="11" t="str">
        <f>Kalusto!C81</f>
        <v>Täysperävaunuyhdistelmät, 60 t, 80 % kuorma, kaupunkiajo</v>
      </c>
    </row>
    <row r="54" spans="4:4" x14ac:dyDescent="0.3">
      <c r="D54" s="11" t="str">
        <f>Kalusto!C82</f>
        <v>Täysperävaunuyhdistelmät, 60 t, 100 % kuorma, maantieajo</v>
      </c>
    </row>
    <row r="55" spans="4:4" x14ac:dyDescent="0.3">
      <c r="D55" s="11" t="str">
        <f>Kalusto!C83</f>
        <v>Täysperävaunuyhdistelmät, 60 t, 100 % kuorma, kaupunkiajo</v>
      </c>
    </row>
    <row r="56" spans="4:4" x14ac:dyDescent="0.3">
      <c r="D56" s="11"/>
    </row>
    <row r="57" spans="4:4" x14ac:dyDescent="0.3">
      <c r="D57" s="11"/>
    </row>
    <row r="58" spans="4:4" x14ac:dyDescent="0.3">
      <c r="D58" s="11"/>
    </row>
    <row r="59" spans="4:4" x14ac:dyDescent="0.3">
      <c r="D59" s="11"/>
    </row>
    <row r="60" spans="4:4" x14ac:dyDescent="0.3">
      <c r="D60" s="11"/>
    </row>
    <row r="61" spans="4:4" x14ac:dyDescent="0.3">
      <c r="D61" s="11"/>
    </row>
    <row r="62" spans="4:4" x14ac:dyDescent="0.3">
      <c r="D62" s="11"/>
    </row>
    <row r="63" spans="4:4" x14ac:dyDescent="0.3">
      <c r="D63" s="11"/>
    </row>
    <row r="64" spans="4:4" x14ac:dyDescent="0.3">
      <c r="D64" s="11"/>
    </row>
    <row r="65" spans="4:4" x14ac:dyDescent="0.3">
      <c r="D65" s="11"/>
    </row>
    <row r="67" spans="4:4" x14ac:dyDescent="0.3">
      <c r="D67" s="12" t="s">
        <v>332</v>
      </c>
    </row>
    <row r="68" spans="4:4" x14ac:dyDescent="0.3">
      <c r="D68" s="11" t="s">
        <v>333</v>
      </c>
    </row>
    <row r="69" spans="4:4" x14ac:dyDescent="0.3">
      <c r="D69" s="11" t="str">
        <f>Kalusto!C5</f>
        <v>Kaivinkone, tela-alustainen, KKH 08</v>
      </c>
    </row>
    <row r="70" spans="4:4" x14ac:dyDescent="0.3">
      <c r="D70" s="11" t="str">
        <f>Kalusto!C6</f>
        <v>Kaivinkone, tela-alustainen, KKH 11</v>
      </c>
    </row>
    <row r="71" spans="4:4" x14ac:dyDescent="0.3">
      <c r="D71" s="11" t="str">
        <f>Kalusto!C7</f>
        <v>Kaivinkone, tela-alustainen, KKH 14</v>
      </c>
    </row>
    <row r="72" spans="4:4" x14ac:dyDescent="0.3">
      <c r="D72" s="11" t="str">
        <f>Kalusto!C8</f>
        <v>Kaivinkone, tela-alustainen, KKH 17</v>
      </c>
    </row>
    <row r="73" spans="4:4" x14ac:dyDescent="0.3">
      <c r="D73" s="11" t="str">
        <f>Kalusto!C9</f>
        <v>Kaivinkone, tela-alustainen, KKH 21</v>
      </c>
    </row>
    <row r="74" spans="4:4" x14ac:dyDescent="0.3">
      <c r="D74" s="11" t="str">
        <f>Kalusto!C10</f>
        <v>Kaivinkone, tela-alustainen, KKH 25</v>
      </c>
    </row>
    <row r="75" spans="4:4" x14ac:dyDescent="0.3">
      <c r="D75" s="11" t="str">
        <f>Kalusto!C11</f>
        <v>Kaivinkone, tela-alustainen, KKH 30</v>
      </c>
    </row>
    <row r="76" spans="4:4" x14ac:dyDescent="0.3">
      <c r="D76" s="11" t="str">
        <f>Kalusto!C12</f>
        <v>Kaivinkone, tela-alustainen, KKH 35</v>
      </c>
    </row>
    <row r="77" spans="4:4" x14ac:dyDescent="0.3">
      <c r="D77" s="11" t="str">
        <f>Kalusto!C13</f>
        <v>Kaivinkone, tela-alustainen, KKH 45</v>
      </c>
    </row>
    <row r="78" spans="4:4" x14ac:dyDescent="0.3">
      <c r="D78" s="11" t="str">
        <f>Kalusto!C14</f>
        <v>Kaivinkone, tela-alustainen, KKH 55</v>
      </c>
    </row>
    <row r="79" spans="4:4" x14ac:dyDescent="0.3">
      <c r="D79" s="11" t="str">
        <f>Kalusto!C15</f>
        <v>Pienoispyöräkuormaaja, KUP 00 tai KUP 03 (bobcat)</v>
      </c>
    </row>
    <row r="80" spans="4:4" x14ac:dyDescent="0.3">
      <c r="D80" s="11" t="str">
        <f>Kalusto!C16</f>
        <v>Pyöräkuormaaja, KUP 100-130</v>
      </c>
    </row>
    <row r="81" spans="4:4" x14ac:dyDescent="0.3">
      <c r="D81" s="11" t="str">
        <f>Kalusto!C17</f>
        <v>Pyöräkuormaaja, KUP 150-210</v>
      </c>
    </row>
    <row r="82" spans="4:4" x14ac:dyDescent="0.3">
      <c r="D82" s="11" t="str">
        <f>Kalusto!C18</f>
        <v>Pyöräkuormaaja, KUP 30-90</v>
      </c>
    </row>
    <row r="83" spans="4:4" x14ac:dyDescent="0.3">
      <c r="D83" s="11" t="str">
        <f>Kalusto!C19</f>
        <v>Traktorikaivuri</v>
      </c>
    </row>
    <row r="84" spans="4:4" x14ac:dyDescent="0.3">
      <c r="D84" s="11" t="str">
        <f>Kalusto!C20</f>
        <v>Porauskalusto (kalliorakentaminen)</v>
      </c>
    </row>
    <row r="85" spans="4:4" x14ac:dyDescent="0.3">
      <c r="D85" s="11" t="str">
        <f>Kalusto!C21</f>
        <v>Maaporavaunu</v>
      </c>
    </row>
    <row r="86" spans="4:4" x14ac:dyDescent="0.3">
      <c r="D86" s="11" t="str">
        <f>Kalusto!C22</f>
        <v>Poravaunu</v>
      </c>
    </row>
    <row r="87" spans="4:4" x14ac:dyDescent="0.3">
      <c r="D87" s="11" t="str">
        <f>Kalusto!C23</f>
        <v>Aggregaatti</v>
      </c>
    </row>
    <row r="88" spans="4:4" x14ac:dyDescent="0.3">
      <c r="D88" s="11" t="str">
        <f>Kalusto!C24</f>
        <v>Kompressori</v>
      </c>
    </row>
    <row r="89" spans="4:4" x14ac:dyDescent="0.3">
      <c r="D89" s="11" t="str">
        <f>Kalusto!C25</f>
        <v>Asfaltinjyrsin</v>
      </c>
    </row>
    <row r="90" spans="4:4" x14ac:dyDescent="0.3">
      <c r="D90" s="11" t="str">
        <f>Kalusto!C26</f>
        <v>Tasoseula, 20-30 t</v>
      </c>
    </row>
    <row r="91" spans="4:4" x14ac:dyDescent="0.3">
      <c r="D91" s="11" t="str">
        <f>Kalusto!C27</f>
        <v>Tasoseula, alle 20 t</v>
      </c>
    </row>
    <row r="92" spans="4:4" x14ac:dyDescent="0.3">
      <c r="D92" s="11" t="str">
        <f>Kalusto!C28</f>
        <v>Tasoseula, yli 30 t</v>
      </c>
    </row>
    <row r="93" spans="4:4" x14ac:dyDescent="0.3">
      <c r="D93" s="11" t="str">
        <f>Kalusto!C29</f>
        <v>Paalutuskone alle 40 t</v>
      </c>
    </row>
    <row r="94" spans="4:4" x14ac:dyDescent="0.3">
      <c r="D94" s="11" t="str">
        <f>Kalusto!C30</f>
        <v>Paalutuskone yli 40 t</v>
      </c>
    </row>
    <row r="95" spans="4:4" x14ac:dyDescent="0.3">
      <c r="D95" s="11" t="str">
        <f>Kalusto!C31</f>
        <v>Paalutuskone, sähkö</v>
      </c>
    </row>
    <row r="96" spans="4:4" x14ac:dyDescent="0.3">
      <c r="D96" s="11" t="str">
        <f>Kalusto!C32</f>
        <v>Massastabilointikone</v>
      </c>
    </row>
    <row r="97" spans="4:4" x14ac:dyDescent="0.3">
      <c r="D97" s="11" t="str">
        <f>IF(ISBLANK(Kalusto!C33),"",Kalusto!C33)</f>
        <v>Kaivannon uppopumppu</v>
      </c>
    </row>
    <row r="98" spans="4:4" x14ac:dyDescent="0.3">
      <c r="D98" s="11" t="str">
        <f>IF(ISBLANK(Kalusto!C34),"",Kalusto!C34)</f>
        <v>Kaivannon uppopumppu</v>
      </c>
    </row>
    <row r="99" spans="4:4" x14ac:dyDescent="0.3">
      <c r="D99" s="11" t="str">
        <f>IF(ISBLANK(Kalusto!C35),"",Kalusto!C35)</f>
        <v/>
      </c>
    </row>
    <row r="100" spans="4:4" x14ac:dyDescent="0.3">
      <c r="D100" s="11" t="str">
        <f>IF(ISBLANK(Kalusto!C36),"",Kalusto!C36)</f>
        <v/>
      </c>
    </row>
    <row r="101" spans="4:4" x14ac:dyDescent="0.3">
      <c r="D101" s="11" t="str">
        <f>IF(ISBLANK(Kalusto!C37),"",Kalusto!C37)</f>
        <v/>
      </c>
    </row>
    <row r="102" spans="4:4" x14ac:dyDescent="0.3">
      <c r="D102" s="11" t="str">
        <f>IF(ISBLANK(Kalusto!C38),"",Kalusto!C38)</f>
        <v/>
      </c>
    </row>
    <row r="103" spans="4:4" x14ac:dyDescent="0.3">
      <c r="D103" s="11" t="str">
        <f>IF(ISBLANK(Kalusto!C39),"",Kalusto!C39)</f>
        <v/>
      </c>
    </row>
    <row r="104" spans="4:4" x14ac:dyDescent="0.3">
      <c r="D104" s="11" t="str">
        <f>IF(ISBLANK(Kalusto!C40),"",Kalusto!C40)</f>
        <v/>
      </c>
    </row>
    <row r="105" spans="4:4" x14ac:dyDescent="0.3">
      <c r="D105" s="11" t="str">
        <f>IF(ISBLANK(Kalusto!C41),"",Kalusto!C41)</f>
        <v/>
      </c>
    </row>
    <row r="106" spans="4:4" x14ac:dyDescent="0.3">
      <c r="D106" s="11" t="str">
        <f>IF(ISBLANK(Kalusto!C42),"",Kalusto!C42)</f>
        <v/>
      </c>
    </row>
  </sheetData>
  <pageMargins left="0.70866141732283472" right="0.70866141732283472" top="0.74803149606299213" bottom="0.74803149606299213" header="0.31496062992125984" footer="0.31496062992125984"/>
  <pageSetup paperSize="9" scale="75" orientation="portrait" verticalDpi="0" r:id="rId1"/>
  <headerFooter>
    <oddHeader>&amp;L&amp;"-,Lihavoitu"&amp;12PIIP-laskentatyökalu&amp;RPudotusvalikot
Sivu &amp;P/&amp;N</oddHeader>
    <oddFooter>&amp;L&amp;G&amp;R&amp;G</oddFooter>
  </headerFooter>
  <rowBreaks count="1" manualBreakCount="1">
    <brk id="65" max="16383" man="1"/>
  </rowBreaks>
  <colBreaks count="2" manualBreakCount="2">
    <brk id="4" max="1048575" man="1"/>
    <brk id="11" max="29"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4B7F-320F-475A-B8A7-7BF30ACD5DC3}">
  <sheetPr codeName="Sheet2">
    <tabColor theme="2" tint="0.79998168889431442"/>
  </sheetPr>
  <dimension ref="B2:BH30"/>
  <sheetViews>
    <sheetView zoomScaleNormal="100" zoomScaleSheetLayoutView="100" workbookViewId="0">
      <selection activeCell="F21" sqref="F21"/>
    </sheetView>
  </sheetViews>
  <sheetFormatPr defaultRowHeight="14" x14ac:dyDescent="0.3"/>
  <cols>
    <col min="2" max="2" width="31.25" customWidth="1"/>
    <col min="3" max="4" width="13.08203125" customWidth="1"/>
    <col min="5" max="5" width="3.25" customWidth="1"/>
    <col min="6" max="7" width="14.08203125" customWidth="1"/>
    <col min="8" max="19" width="12.25" customWidth="1"/>
    <col min="20" max="21" width="15.08203125" customWidth="1"/>
    <col min="22" max="22" width="15.58203125" customWidth="1"/>
  </cols>
  <sheetData>
    <row r="2" spans="2:60" s="25" customFormat="1" ht="30" x14ac:dyDescent="0.3">
      <c r="B2" s="8" t="s">
        <v>712</v>
      </c>
      <c r="C2" s="8"/>
      <c r="D2" s="27"/>
      <c r="E2" s="85"/>
      <c r="H2" s="27"/>
      <c r="I2" s="85"/>
      <c r="K2" s="26"/>
      <c r="P2" s="253"/>
      <c r="S2" s="27"/>
      <c r="T2" s="141"/>
      <c r="U2" s="30"/>
      <c r="V2" s="29"/>
      <c r="W2" s="29"/>
      <c r="X2" s="29"/>
      <c r="Y2" s="29"/>
      <c r="Z2" s="29"/>
      <c r="AA2" s="29"/>
      <c r="AB2" s="29"/>
      <c r="AC2" s="29"/>
      <c r="AD2" s="29"/>
      <c r="AE2" s="29"/>
      <c r="AF2" s="29"/>
      <c r="AG2" s="29"/>
      <c r="AH2" s="29"/>
      <c r="AI2" s="29"/>
      <c r="AJ2" s="29"/>
      <c r="AK2" s="29"/>
      <c r="AL2" s="29"/>
      <c r="AM2" s="29"/>
      <c r="AN2" s="29"/>
      <c r="AO2" s="29"/>
      <c r="AP2" s="29"/>
      <c r="AQ2" s="30"/>
      <c r="AR2" s="30"/>
      <c r="AS2" s="30"/>
      <c r="AT2" s="30"/>
      <c r="AU2" s="30"/>
      <c r="AV2" s="30"/>
      <c r="AW2" s="30"/>
      <c r="AX2" s="30"/>
      <c r="AY2" s="30"/>
      <c r="AZ2" s="30"/>
      <c r="BA2" s="30"/>
      <c r="BB2" s="30"/>
      <c r="BC2" s="30"/>
      <c r="BD2" s="30"/>
      <c r="BE2" s="30"/>
      <c r="BF2" s="30"/>
      <c r="BG2" s="30"/>
      <c r="BH2" s="30"/>
    </row>
    <row r="4" spans="2:60" s="298" customFormat="1" ht="18" x14ac:dyDescent="0.3">
      <c r="B4" s="295" t="s">
        <v>721</v>
      </c>
      <c r="C4" s="295"/>
      <c r="D4" s="296"/>
      <c r="E4" s="297"/>
      <c r="H4" s="296"/>
      <c r="I4" s="297"/>
      <c r="L4" s="296"/>
      <c r="M4" s="296"/>
      <c r="N4" s="297"/>
      <c r="O4" s="297"/>
      <c r="P4" s="300"/>
      <c r="R4" s="304"/>
      <c r="T4" s="303"/>
      <c r="U4" s="303"/>
      <c r="V4" s="303"/>
      <c r="W4" s="303"/>
      <c r="X4" s="303"/>
      <c r="Y4" s="303"/>
      <c r="Z4" s="303"/>
      <c r="AA4" s="303"/>
      <c r="AB4" s="303"/>
      <c r="AC4" s="303"/>
      <c r="AD4" s="303"/>
      <c r="AE4" s="303"/>
      <c r="AF4" s="303"/>
      <c r="AG4" s="303"/>
      <c r="AH4" s="303"/>
      <c r="AI4" s="303"/>
      <c r="AJ4" s="303"/>
      <c r="AK4" s="303"/>
      <c r="AL4" s="303"/>
      <c r="AM4" s="303"/>
      <c r="AN4" s="303"/>
      <c r="AO4" s="304"/>
      <c r="AP4" s="304"/>
      <c r="AQ4" s="304"/>
      <c r="AR4" s="304"/>
      <c r="AS4" s="304"/>
      <c r="AT4" s="304"/>
      <c r="AU4" s="304"/>
      <c r="AV4" s="304"/>
      <c r="AW4" s="304"/>
      <c r="AX4" s="304"/>
      <c r="AY4" s="304"/>
      <c r="AZ4" s="304"/>
      <c r="BA4" s="304"/>
      <c r="BB4" s="304"/>
      <c r="BC4" s="304"/>
      <c r="BD4" s="304"/>
      <c r="BE4" s="304"/>
      <c r="BF4" s="304"/>
    </row>
    <row r="6" spans="2:60" ht="19.5" customHeight="1" x14ac:dyDescent="0.35">
      <c r="C6" s="4" t="s">
        <v>14</v>
      </c>
      <c r="D6" s="275"/>
      <c r="E6" s="276"/>
      <c r="F6" s="277"/>
      <c r="G6" s="6"/>
    </row>
    <row r="7" spans="2:60" ht="19.5" customHeight="1" x14ac:dyDescent="0.35">
      <c r="C7" s="4" t="s">
        <v>15</v>
      </c>
      <c r="D7" s="275"/>
      <c r="E7" s="276"/>
      <c r="F7" s="277"/>
      <c r="G7" s="6"/>
    </row>
    <row r="8" spans="2:60" ht="19.5" customHeight="1" x14ac:dyDescent="0.35">
      <c r="C8" s="4" t="s">
        <v>16</v>
      </c>
      <c r="D8" s="278"/>
      <c r="E8" s="276"/>
      <c r="F8" s="277"/>
      <c r="G8" s="6"/>
    </row>
    <row r="9" spans="2:60" x14ac:dyDescent="0.3">
      <c r="C9" s="1"/>
    </row>
    <row r="10" spans="2:60" x14ac:dyDescent="0.3">
      <c r="C10" s="1"/>
    </row>
    <row r="11" spans="2:60" ht="16.5" x14ac:dyDescent="0.3">
      <c r="C11" s="1" t="s">
        <v>342</v>
      </c>
      <c r="D11" s="279"/>
      <c r="E11" t="s">
        <v>35</v>
      </c>
    </row>
    <row r="12" spans="2:60" ht="16.5" x14ac:dyDescent="0.3">
      <c r="C12" s="1" t="s">
        <v>343</v>
      </c>
      <c r="D12" s="279"/>
      <c r="E12" t="s">
        <v>36</v>
      </c>
    </row>
    <row r="13" spans="2:60" ht="16.5" x14ac:dyDescent="0.3">
      <c r="C13" s="1" t="s">
        <v>344</v>
      </c>
      <c r="D13" s="279"/>
      <c r="E13" t="s">
        <v>37</v>
      </c>
    </row>
    <row r="14" spans="2:60" ht="27" customHeight="1" x14ac:dyDescent="0.3">
      <c r="C14" s="2"/>
    </row>
    <row r="15" spans="2:60" x14ac:dyDescent="0.3">
      <c r="C15" s="1" t="s">
        <v>345</v>
      </c>
      <c r="D15" s="274"/>
      <c r="E15" t="s">
        <v>23</v>
      </c>
    </row>
    <row r="16" spans="2:60" x14ac:dyDescent="0.3">
      <c r="B16" s="1"/>
      <c r="C16" s="1"/>
      <c r="D16" s="1"/>
      <c r="U16" s="283"/>
    </row>
    <row r="17" spans="2:59" s="298" customFormat="1" ht="18" x14ac:dyDescent="0.3">
      <c r="B17" s="295" t="s">
        <v>698</v>
      </c>
      <c r="C17" s="295"/>
      <c r="D17" s="296"/>
      <c r="E17" s="297"/>
      <c r="H17" s="296"/>
      <c r="I17" s="297"/>
      <c r="K17" s="315"/>
      <c r="L17" s="299"/>
      <c r="M17" s="299"/>
      <c r="N17" s="319"/>
      <c r="O17" s="319"/>
      <c r="P17" s="300"/>
      <c r="Q17" s="299"/>
      <c r="R17" s="304"/>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4"/>
      <c r="AP17" s="304"/>
      <c r="AQ17" s="304"/>
      <c r="AR17" s="304"/>
      <c r="AS17" s="304"/>
      <c r="AT17" s="304"/>
      <c r="AU17" s="304"/>
      <c r="AV17" s="304"/>
      <c r="AW17" s="304"/>
      <c r="AX17" s="304"/>
      <c r="AY17" s="304"/>
      <c r="AZ17" s="304"/>
      <c r="BA17" s="304"/>
      <c r="BB17" s="304"/>
      <c r="BC17" s="304"/>
      <c r="BD17" s="304"/>
      <c r="BE17" s="304"/>
      <c r="BF17" s="304"/>
    </row>
    <row r="18" spans="2:59" s="31" customFormat="1" ht="18" x14ac:dyDescent="0.3">
      <c r="B18" s="329"/>
      <c r="C18" s="329"/>
      <c r="D18" s="329"/>
      <c r="E18" s="34"/>
      <c r="F18" s="84"/>
      <c r="I18" s="34"/>
      <c r="J18" s="84"/>
      <c r="L18" s="33"/>
      <c r="M18" s="38"/>
      <c r="N18" s="38"/>
      <c r="O18" s="86"/>
      <c r="P18" s="86"/>
      <c r="Q18" s="255"/>
      <c r="R18" s="38"/>
      <c r="S18" s="56"/>
      <c r="T18" s="55"/>
      <c r="U18" s="55"/>
      <c r="V18" s="55"/>
      <c r="W18" s="55"/>
      <c r="X18" s="55"/>
      <c r="Y18" s="55"/>
      <c r="Z18" s="55"/>
      <c r="AA18" s="55"/>
      <c r="AB18" s="55"/>
      <c r="AC18" s="55"/>
      <c r="AD18" s="55"/>
      <c r="AE18" s="55"/>
      <c r="AF18" s="55"/>
      <c r="AG18" s="55"/>
      <c r="AH18" s="55"/>
      <c r="AI18" s="55"/>
      <c r="AJ18" s="55"/>
      <c r="AK18" s="55"/>
      <c r="AL18" s="55"/>
      <c r="AM18" s="55"/>
      <c r="AN18" s="55"/>
      <c r="AO18" s="55"/>
      <c r="AP18" s="56"/>
      <c r="AQ18" s="56"/>
      <c r="AR18" s="56"/>
      <c r="AS18" s="56"/>
      <c r="AT18" s="56"/>
      <c r="AU18" s="56"/>
      <c r="AV18" s="56"/>
      <c r="AW18" s="56"/>
      <c r="AX18" s="56"/>
      <c r="AY18" s="56"/>
      <c r="AZ18" s="56"/>
      <c r="BA18" s="56"/>
      <c r="BB18" s="56"/>
      <c r="BC18" s="56"/>
      <c r="BD18" s="56"/>
      <c r="BE18" s="56"/>
      <c r="BF18" s="56"/>
      <c r="BG18" s="56"/>
    </row>
    <row r="19" spans="2:59" ht="86.25" customHeight="1" x14ac:dyDescent="0.35">
      <c r="B19" s="337" t="s">
        <v>38</v>
      </c>
      <c r="C19" s="333" t="s">
        <v>722</v>
      </c>
      <c r="D19" s="333" t="s">
        <v>723</v>
      </c>
      <c r="E19" s="364"/>
      <c r="F19" s="333" t="s">
        <v>680</v>
      </c>
      <c r="G19" s="333" t="s">
        <v>718</v>
      </c>
      <c r="H19" s="388" t="s">
        <v>654</v>
      </c>
      <c r="I19" s="388"/>
      <c r="J19" s="389" t="s">
        <v>40</v>
      </c>
      <c r="K19" s="389"/>
      <c r="L19" s="390" t="s">
        <v>655</v>
      </c>
      <c r="M19" s="390"/>
      <c r="N19" s="387" t="s">
        <v>720</v>
      </c>
      <c r="O19" s="387"/>
      <c r="P19" s="391" t="s">
        <v>662</v>
      </c>
      <c r="Q19" s="391"/>
      <c r="R19" s="386" t="s">
        <v>678</v>
      </c>
      <c r="S19" s="386"/>
      <c r="U19" s="324" t="s">
        <v>681</v>
      </c>
      <c r="V19" s="324" t="s">
        <v>679</v>
      </c>
      <c r="W19" s="325"/>
    </row>
    <row r="20" spans="2:59" ht="15.5" x14ac:dyDescent="0.35">
      <c r="B20" s="337"/>
      <c r="C20" s="334"/>
      <c r="D20" s="334"/>
      <c r="E20" s="365"/>
      <c r="F20" s="335" t="s">
        <v>172</v>
      </c>
      <c r="G20" s="335" t="s">
        <v>437</v>
      </c>
      <c r="H20" s="351" t="s">
        <v>172</v>
      </c>
      <c r="I20" s="352" t="s">
        <v>8</v>
      </c>
      <c r="J20" s="351" t="s">
        <v>172</v>
      </c>
      <c r="K20" s="361" t="s">
        <v>8</v>
      </c>
      <c r="L20" s="351" t="s">
        <v>172</v>
      </c>
      <c r="M20" s="352" t="s">
        <v>8</v>
      </c>
      <c r="N20" s="351" t="s">
        <v>172</v>
      </c>
      <c r="O20" s="361" t="s">
        <v>8</v>
      </c>
      <c r="P20" s="351" t="s">
        <v>172</v>
      </c>
      <c r="Q20" s="361" t="s">
        <v>8</v>
      </c>
      <c r="R20" s="351" t="s">
        <v>172</v>
      </c>
      <c r="S20" s="361" t="s">
        <v>8</v>
      </c>
      <c r="U20" s="326" t="s">
        <v>172</v>
      </c>
      <c r="V20" s="326" t="s">
        <v>172</v>
      </c>
      <c r="W20" s="325"/>
    </row>
    <row r="21" spans="2:59" x14ac:dyDescent="0.3">
      <c r="B21" s="338" t="s">
        <v>436</v>
      </c>
      <c r="C21" s="342">
        <f>'Massanvaihto ja aumakäsittelyt'!C4</f>
        <v>0</v>
      </c>
      <c r="D21" s="362" t="s">
        <v>724</v>
      </c>
      <c r="E21" s="365"/>
      <c r="F21" s="343" t="str">
        <f>IF(SUM(C21:D21)=0,"",'Massanvaihto ja aumakäsittelyt'!U538)</f>
        <v/>
      </c>
      <c r="G21" s="344" t="str">
        <f>IF(F21=0,"",IF(ISERROR(F21/$D$12),"",F21/$D$12))</f>
        <v/>
      </c>
      <c r="H21" s="353" t="str">
        <f>IF(OR(C21=0,ISBLANK(C21)),"",'Massanvaihto ja aumakäsittelyt'!$U$532)</f>
        <v/>
      </c>
      <c r="I21" s="354" t="str">
        <f>IF(ISERROR(H21/F21),"",H21/F21)</f>
        <v/>
      </c>
      <c r="J21" s="353" t="str">
        <f>IF(OR(C21=0,ISBLANK(C21)),"",'Massanvaihto ja aumakäsittelyt'!$U$533)</f>
        <v/>
      </c>
      <c r="K21" s="354" t="str">
        <f>IF(ISERROR(J21/F21),"",J21/F21)</f>
        <v/>
      </c>
      <c r="L21" s="355" t="str">
        <f>IF(OR($C$21=0,ISBLANK($C$21)),"",'Massanvaihto ja aumakäsittelyt'!U534)</f>
        <v/>
      </c>
      <c r="M21" s="354" t="str">
        <f>IF(ISERROR(L21/F21),"",L21/F21)</f>
        <v/>
      </c>
      <c r="N21" s="353" t="str">
        <f>IF(OR(C21=0,ISBLANK(C21)),"",'Massanvaihto ja aumakäsittelyt'!$U$535)</f>
        <v/>
      </c>
      <c r="O21" s="354" t="str">
        <f>IF(ISERROR(N21/F21),"",N21/F21)</f>
        <v/>
      </c>
      <c r="P21" s="353" t="str">
        <f>IF(OR(C21=0,ISBLANK(C21)),"",'Massanvaihto ja aumakäsittelyt'!$U$536)</f>
        <v/>
      </c>
      <c r="Q21" s="354" t="str">
        <f>IF(ISERROR(P21/F21),"",P21/F21)</f>
        <v/>
      </c>
      <c r="R21" s="353" t="str">
        <f>IF(OR(C21=0,ISBLANK(C21)),"",'Massanvaihto ja aumakäsittelyt'!$U$537)</f>
        <v/>
      </c>
      <c r="S21" s="354" t="str">
        <f>IF(ISERROR(R21/F21),"",R21/F21)</f>
        <v/>
      </c>
      <c r="U21" s="328" t="str">
        <f>IF(OR(C21=0,ISBLANK(C21)),"",'Massanvaihto ja aumakäsittelyt'!$Y$527)</f>
        <v/>
      </c>
      <c r="V21" s="328" t="str">
        <f>IF(OR(C21=0,ISBLANK(C21)),"",'Massanvaihto ja aumakäsittelyt'!$Y$530)</f>
        <v/>
      </c>
      <c r="W21" s="325"/>
    </row>
    <row r="22" spans="2:59" x14ac:dyDescent="0.3">
      <c r="B22" s="339" t="s">
        <v>648</v>
      </c>
      <c r="C22" s="345">
        <f>Eristäminen!C4</f>
        <v>0</v>
      </c>
      <c r="D22" s="363" t="s">
        <v>724</v>
      </c>
      <c r="E22" s="365"/>
      <c r="F22" s="346" t="str">
        <f>IF(SUM(C22:D22)=0,"",Eristäminen!$U$471)</f>
        <v/>
      </c>
      <c r="G22" s="347" t="str">
        <f t="shared" ref="G22:G27" si="0">IF(F22=0,"",IF(ISERROR(F22/$D$12),"",F22/$D$12))</f>
        <v/>
      </c>
      <c r="H22" s="355" t="str">
        <f>IF(OR(C$22=0,ISBLANK(C$22)),"",Eristäminen!$U$465)</f>
        <v/>
      </c>
      <c r="I22" s="356" t="str">
        <f>IF(ISERROR(H22/F22),"",H22/F22)</f>
        <v/>
      </c>
      <c r="J22" s="355" t="str">
        <f>IF(OR($C$22=0,ISBLANK($C$22)),"",Eristäminen!$U$466)</f>
        <v/>
      </c>
      <c r="K22" s="356" t="str">
        <f>IF(ISERROR(J22/F22),"",J22/F22)</f>
        <v/>
      </c>
      <c r="L22" s="355" t="str">
        <f>IF(OR($C$22=0,ISBLANK($C$22)),"",Eristäminen!$U$467)</f>
        <v/>
      </c>
      <c r="M22" s="356" t="str">
        <f>IF(ISERROR(L22/F22),"",L22/F22)</f>
        <v/>
      </c>
      <c r="N22" s="355" t="str">
        <f>IF(OR($C$22=0,ISBLANK($C$22)),"",Eristäminen!$U$468)</f>
        <v/>
      </c>
      <c r="O22" s="356" t="str">
        <f>IF(ISERROR(N22/F22),"",N22/F22)</f>
        <v/>
      </c>
      <c r="P22" s="355" t="str">
        <f>IF(OR($C$22=0,ISBLANK($C$22)),"",Eristäminen!$U$469)</f>
        <v/>
      </c>
      <c r="Q22" s="356" t="str">
        <f>IF(ISERROR(P22/F22),"",P22/F22)</f>
        <v/>
      </c>
      <c r="R22" s="355" t="str">
        <f>IF(OR($C$22=0,ISBLANK($C$22)),"",Eristäminen!$U$470)</f>
        <v/>
      </c>
      <c r="S22" s="356" t="str">
        <f>IF(ISERROR(R22/F22),"",R22/F22)</f>
        <v/>
      </c>
      <c r="U22" s="328" t="str">
        <f>IF(OR(C22=0,ISBLANK(C22)),"",Eristäminen!Y441)</f>
        <v/>
      </c>
      <c r="V22" s="328" t="str">
        <f>IF(OR(C22=0,ISBLANK(C22)),"",Eristäminen!Y444)</f>
        <v/>
      </c>
      <c r="W22" s="325"/>
    </row>
    <row r="23" spans="2:59" x14ac:dyDescent="0.3">
      <c r="B23" s="339" t="s">
        <v>29</v>
      </c>
      <c r="C23" s="345">
        <f>Injektoinnit!C4</f>
        <v>0</v>
      </c>
      <c r="D23" s="345">
        <f>Injektoinnit!C5</f>
        <v>0</v>
      </c>
      <c r="E23" s="365"/>
      <c r="F23" s="346" t="str">
        <f>IF(SUM(C23:D23)=0,"",Injektoinnit!U466)</f>
        <v/>
      </c>
      <c r="G23" s="347" t="str">
        <f t="shared" si="0"/>
        <v/>
      </c>
      <c r="H23" s="355" t="str">
        <f>IF(OR(C23=0,ISBLANK(C23)),"",Injektoinnit!U467)</f>
        <v/>
      </c>
      <c r="I23" s="356" t="str">
        <f>IF(ISERROR(H23/F23),"",H23/F23)</f>
        <v/>
      </c>
      <c r="J23" s="355" t="str">
        <f>IF(OR(C23=0,ISBLANK(C23)),"",Injektoinnit!U468)</f>
        <v/>
      </c>
      <c r="K23" s="356" t="str">
        <f>IF(ISERROR(J23/F23),"",J23/F23)</f>
        <v/>
      </c>
      <c r="L23" s="355" t="str">
        <f>IF(OR(C23=0,ISBLANK(C23)),"",Injektoinnit!U469)</f>
        <v/>
      </c>
      <c r="M23" s="356" t="str">
        <f>IF(ISERROR(L23/F23),"",L23/F23)</f>
        <v/>
      </c>
      <c r="N23" s="355" t="str">
        <f>IF(OR(C23=0,ISBLANK(C23)),"",Injektoinnit!U470)</f>
        <v/>
      </c>
      <c r="O23" s="356" t="str">
        <f>IF(ISERROR(N23/F23),"",N23/F23)</f>
        <v/>
      </c>
      <c r="P23" s="355" t="str">
        <f>IF(OR(C23=0,ISBLANK(C23)),"",Injektoinnit!U470)</f>
        <v/>
      </c>
      <c r="Q23" s="356" t="str">
        <f>IF(ISERROR(P23/F23),"",P23/F23)</f>
        <v/>
      </c>
      <c r="R23" s="355" t="str">
        <f>IF(OR(C23=0,ISBLANK(C23)),"",Injektoinnit!U471)</f>
        <v/>
      </c>
      <c r="S23" s="356" t="str">
        <f>IF(ISERROR(R23/F23),"",R23/F23)</f>
        <v/>
      </c>
      <c r="U23" s="328" t="str">
        <f>IF(OR(C23=0,ISBLANK(C23)),"",Injektoinnit!Y446)</f>
        <v/>
      </c>
      <c r="V23" s="328" t="str">
        <f>IF(OR(C23=0,ISBLANK(C23)),"",Injektoinnit!Y449)</f>
        <v/>
      </c>
      <c r="W23" s="325"/>
    </row>
    <row r="24" spans="2:59" x14ac:dyDescent="0.3">
      <c r="B24" s="339" t="s">
        <v>30</v>
      </c>
      <c r="C24" s="345">
        <f>'Termiset menetelmät'!C4</f>
        <v>0</v>
      </c>
      <c r="D24" s="363" t="s">
        <v>724</v>
      </c>
      <c r="E24" s="365"/>
      <c r="F24" s="346" t="str">
        <f>IF(SUM(C24:D24)=0,"",'Termiset menetelmät'!U471)</f>
        <v/>
      </c>
      <c r="G24" s="347" t="str">
        <f t="shared" si="0"/>
        <v/>
      </c>
      <c r="H24" s="355" t="str">
        <f>IF(OR(C24=0,ISBLANK(C24)),"",'Termiset menetelmät'!$U$465)</f>
        <v/>
      </c>
      <c r="I24" s="356" t="str">
        <f t="shared" ref="I24:I27" si="1">IF(ISERROR(H24/F24),"",H24/F24)</f>
        <v/>
      </c>
      <c r="J24" s="355" t="str">
        <f>IF(OR(C24=0,ISBLANK(C24)),"",'Termiset menetelmät'!$U$466)</f>
        <v/>
      </c>
      <c r="K24" s="356" t="str">
        <f t="shared" ref="K24:K27" si="2">IF(ISERROR(J24/F24),"",J24/F24)</f>
        <v/>
      </c>
      <c r="L24" s="355" t="str">
        <f>IF(OR(C24=0,ISBLANK(C24)),"",'Termiset menetelmät'!$U$467)</f>
        <v/>
      </c>
      <c r="M24" s="356" t="str">
        <f t="shared" ref="M24:M27" si="3">IF(ISERROR(L24/F24),"",L24/F24)</f>
        <v/>
      </c>
      <c r="N24" s="355" t="str">
        <f>IF(OR(C24=0,ISBLANK(C24)),"",'Termiset menetelmät'!$U$468)</f>
        <v/>
      </c>
      <c r="O24" s="356" t="str">
        <f t="shared" ref="O24:O27" si="4">IF(ISERROR(N24/F24),"",N24/F24)</f>
        <v/>
      </c>
      <c r="P24" s="355" t="str">
        <f>IF(OR(C24=0,ISBLANK(C24)),"",'Termiset menetelmät'!$U$469)</f>
        <v/>
      </c>
      <c r="Q24" s="356" t="str">
        <f t="shared" ref="Q24:Q27" si="5">IF(ISERROR(P24/F24),"",P24/F24)</f>
        <v/>
      </c>
      <c r="R24" s="355" t="str">
        <f>IF(OR(C24=0,ISBLANK(C24)),"",'Termiset menetelmät'!$U$470)</f>
        <v/>
      </c>
      <c r="S24" s="356" t="str">
        <f t="shared" ref="S24:S27" si="6">IF(ISERROR(R24/F24),"",R24/F24)</f>
        <v/>
      </c>
      <c r="U24" s="328" t="str">
        <f>IF(OR(C24=0,ISBLANK(C24)),"",'Termiset menetelmät'!Y444)</f>
        <v/>
      </c>
      <c r="V24" s="328" t="str">
        <f>IF(OR(C24=0,ISBLANK(C24)),"",'Termiset menetelmät'!Y447)</f>
        <v/>
      </c>
      <c r="W24" s="325"/>
    </row>
    <row r="25" spans="2:59" x14ac:dyDescent="0.3">
      <c r="B25" s="339" t="s">
        <v>31</v>
      </c>
      <c r="C25" s="345">
        <f>Huokosilmakäsittely!C4</f>
        <v>0</v>
      </c>
      <c r="D25" s="363" t="s">
        <v>724</v>
      </c>
      <c r="E25" s="365"/>
      <c r="F25" s="346" t="str">
        <f>IF(SUM(C25:D25)=0,"",Huokosilmakäsittely!U471)</f>
        <v/>
      </c>
      <c r="G25" s="347" t="str">
        <f t="shared" si="0"/>
        <v/>
      </c>
      <c r="H25" s="355" t="str">
        <f>IF(OR(C25=0,ISBLANK(C25)),"",Huokosilmakäsittely!$U$465)</f>
        <v/>
      </c>
      <c r="I25" s="356" t="str">
        <f t="shared" si="1"/>
        <v/>
      </c>
      <c r="J25" s="355" t="str">
        <f>IF(OR(C25=0,ISBLANK(C25)),"",Huokosilmakäsittely!$U$466)</f>
        <v/>
      </c>
      <c r="K25" s="356" t="str">
        <f t="shared" si="2"/>
        <v/>
      </c>
      <c r="L25" s="355" t="str">
        <f>IF(OR(C25=0,ISBLANK(C25)),"",Huokosilmakäsittely!$U$467)</f>
        <v/>
      </c>
      <c r="M25" s="356" t="str">
        <f t="shared" si="3"/>
        <v/>
      </c>
      <c r="N25" s="355" t="str">
        <f>IF(OR(C25=0,ISBLANK(C25)),"",Huokosilmakäsittely!$U$468)</f>
        <v/>
      </c>
      <c r="O25" s="356" t="str">
        <f t="shared" si="4"/>
        <v/>
      </c>
      <c r="P25" s="355" t="str">
        <f>IF(OR(C25=0,ISBLANK(C25)),"",Huokosilmakäsittely!$U$469)</f>
        <v/>
      </c>
      <c r="Q25" s="356" t="str">
        <f t="shared" si="5"/>
        <v/>
      </c>
      <c r="R25" s="355" t="str">
        <f>IF(OR(C25=0,ISBLANK(C25)),"",Huokosilmakäsittely!$U$470)</f>
        <v/>
      </c>
      <c r="S25" s="356" t="str">
        <f t="shared" si="6"/>
        <v/>
      </c>
      <c r="U25" s="328" t="str">
        <f>IF(OR(C25=0,ISBLANK(C25)),"",Huokosilmakäsittely!Y445)</f>
        <v/>
      </c>
      <c r="V25" s="328" t="str">
        <f>IF(OR(C25=0,ISBLANK(C25)),"",Huokosilmakäsittely!Y448)</f>
        <v/>
      </c>
      <c r="W25" s="325"/>
    </row>
    <row r="26" spans="2:59" x14ac:dyDescent="0.3">
      <c r="B26" s="339" t="s">
        <v>32</v>
      </c>
      <c r="C26" s="345">
        <f>Fytoremediaatio!C4</f>
        <v>0</v>
      </c>
      <c r="D26" s="363" t="s">
        <v>724</v>
      </c>
      <c r="E26" s="365"/>
      <c r="F26" s="346" t="str">
        <f>IF(SUM(C26:D26)=0,"",Fytoremediaatio!U471)</f>
        <v/>
      </c>
      <c r="G26" s="347" t="str">
        <f t="shared" si="0"/>
        <v/>
      </c>
      <c r="H26" s="355" t="str">
        <f>IF(OR(C26=0,ISBLANK(C26)),"",Fytoremediaatio!$U$465)</f>
        <v/>
      </c>
      <c r="I26" s="356" t="str">
        <f t="shared" si="1"/>
        <v/>
      </c>
      <c r="J26" s="355" t="str">
        <f>IF(OR(C26=0,ISBLANK(C26)),"",Fytoremediaatio!$U$466)</f>
        <v/>
      </c>
      <c r="K26" s="356" t="str">
        <f t="shared" si="2"/>
        <v/>
      </c>
      <c r="L26" s="355" t="str">
        <f>IF(OR(C26=0,ISBLANK(C26)),"",Fytoremediaatio!$U$467)</f>
        <v/>
      </c>
      <c r="M26" s="356" t="str">
        <f t="shared" si="3"/>
        <v/>
      </c>
      <c r="N26" s="355" t="str">
        <f>IF(OR(C26=0,ISBLANK(C26)),"",Fytoremediaatio!$U$468)</f>
        <v/>
      </c>
      <c r="O26" s="356" t="str">
        <f t="shared" si="4"/>
        <v/>
      </c>
      <c r="P26" s="355" t="str">
        <f>IF(OR(C26=0,ISBLANK(C26)),"",Fytoremediaatio!$U$469)</f>
        <v/>
      </c>
      <c r="Q26" s="356" t="str">
        <f t="shared" si="5"/>
        <v/>
      </c>
      <c r="R26" s="355" t="str">
        <f>IF(OR(C26=0,ISBLANK(C26)),"",Fytoremediaatio!$U$470)</f>
        <v/>
      </c>
      <c r="S26" s="356" t="str">
        <f t="shared" si="6"/>
        <v/>
      </c>
      <c r="U26" s="328" t="str">
        <f>IF(OR(C26=0,ISBLANK(C26)),"",Fytoremediaatio!Y442)</f>
        <v/>
      </c>
      <c r="V26" s="328" t="str">
        <f>IF(OR(C26=0,ISBLANK(C26)),"",Fytoremediaatio!Y445)</f>
        <v/>
      </c>
      <c r="W26" s="325"/>
    </row>
    <row r="27" spans="2:59" x14ac:dyDescent="0.3">
      <c r="B27" s="340" t="s">
        <v>33</v>
      </c>
      <c r="C27" s="348">
        <f>'Luontaisen hajoamisen seuranta'!C4</f>
        <v>0</v>
      </c>
      <c r="D27" s="348">
        <f>'Luontaisen hajoamisen seuranta'!C5</f>
        <v>0</v>
      </c>
      <c r="E27" s="365"/>
      <c r="F27" s="349" t="str">
        <f>IF(SUM(C27:D27)=0,"",'Luontaisen hajoamisen seuranta'!U472)</f>
        <v/>
      </c>
      <c r="G27" s="350" t="str">
        <f t="shared" si="0"/>
        <v/>
      </c>
      <c r="H27" s="357" t="str">
        <f>IF(OR(C27=0,ISBLANK(C27)),"",'Luontaisen hajoamisen seuranta'!$U$466)</f>
        <v/>
      </c>
      <c r="I27" s="358" t="str">
        <f t="shared" si="1"/>
        <v/>
      </c>
      <c r="J27" s="357" t="str">
        <f>IF(OR(C27=0,ISBLANK(C27)),"",'Luontaisen hajoamisen seuranta'!$U$467)</f>
        <v/>
      </c>
      <c r="K27" s="358" t="str">
        <f t="shared" si="2"/>
        <v/>
      </c>
      <c r="L27" s="357" t="str">
        <f>IF(OR(C27=0,ISBLANK(C27)),"",'Luontaisen hajoamisen seuranta'!$U$468)</f>
        <v/>
      </c>
      <c r="M27" s="358" t="str">
        <f t="shared" si="3"/>
        <v/>
      </c>
      <c r="N27" s="357" t="str">
        <f>IF(OR(C27=0,ISBLANK(C27)),"",'Luontaisen hajoamisen seuranta'!$U$469)</f>
        <v/>
      </c>
      <c r="O27" s="358" t="str">
        <f t="shared" si="4"/>
        <v/>
      </c>
      <c r="P27" s="357" t="str">
        <f>IF(OR(C27=0,ISBLANK(C27)),"",'Luontaisen hajoamisen seuranta'!$U$470)</f>
        <v/>
      </c>
      <c r="Q27" s="358" t="str">
        <f t="shared" si="5"/>
        <v/>
      </c>
      <c r="R27" s="357" t="str">
        <f>IF(OR(C27=0,ISBLANK(C27)),"",'Luontaisen hajoamisen seuranta'!$U$471)</f>
        <v/>
      </c>
      <c r="S27" s="358" t="str">
        <f t="shared" si="6"/>
        <v/>
      </c>
      <c r="U27" s="328" t="str">
        <f>IF(OR(C27=0,ISBLANK(C27)),"",'Luontaisen hajoamisen seuranta'!Y409)</f>
        <v/>
      </c>
      <c r="V27" s="328" t="str">
        <f>IF(OR(C27=0,ISBLANK(C27)),"",'Luontaisen hajoamisen seuranta'!Y412)</f>
        <v/>
      </c>
      <c r="W27" s="325"/>
    </row>
    <row r="28" spans="2:59" x14ac:dyDescent="0.3">
      <c r="B28" s="336" t="s">
        <v>34</v>
      </c>
      <c r="C28" s="336"/>
      <c r="D28" s="336"/>
      <c r="E28" s="366"/>
      <c r="F28" s="341">
        <f>SUM(F21:F27)</f>
        <v>0</v>
      </c>
      <c r="G28" s="382">
        <f>SUM(G21:G27)</f>
        <v>0</v>
      </c>
      <c r="H28" s="359">
        <f>SUM(H21:H27)</f>
        <v>0</v>
      </c>
      <c r="I28" s="360"/>
      <c r="J28" s="359">
        <f>SUM(J21:J27)</f>
        <v>0</v>
      </c>
      <c r="K28" s="360"/>
      <c r="L28" s="359">
        <f>SUM(L21:L27)</f>
        <v>0</v>
      </c>
      <c r="M28" s="360"/>
      <c r="N28" s="359">
        <f>SUM(N21:N27)</f>
        <v>0</v>
      </c>
      <c r="O28" s="360"/>
      <c r="P28" s="359">
        <f>SUM(P21:P27)</f>
        <v>0</v>
      </c>
      <c r="Q28" s="360"/>
      <c r="R28" s="359">
        <f>SUM(R21:R27)</f>
        <v>0</v>
      </c>
      <c r="S28" s="360"/>
      <c r="U28" s="327">
        <f>SUM(U21:U27)</f>
        <v>0</v>
      </c>
      <c r="V28" s="327">
        <f>SUM(V21:V27)</f>
        <v>0</v>
      </c>
      <c r="W28" s="325"/>
    </row>
    <row r="29" spans="2:59" x14ac:dyDescent="0.3">
      <c r="U29" s="325"/>
      <c r="V29" s="325"/>
      <c r="W29" s="325"/>
    </row>
    <row r="30" spans="2:59" x14ac:dyDescent="0.3">
      <c r="U30" s="325"/>
      <c r="V30" s="325"/>
      <c r="W30" s="325"/>
    </row>
  </sheetData>
  <mergeCells count="6">
    <mergeCell ref="R19:S19"/>
    <mergeCell ref="N19:O19"/>
    <mergeCell ref="H19:I19"/>
    <mergeCell ref="J19:K19"/>
    <mergeCell ref="L19:M19"/>
    <mergeCell ref="P19:Q19"/>
  </mergeCells>
  <pageMargins left="0.70866141732283472" right="0.70866141732283472" top="0.74803149606299213" bottom="0.74803149606299213" header="0.31496062992125984" footer="0.31496062992125984"/>
  <pageSetup paperSize="8" scale="75" orientation="landscape" verticalDpi="0" r:id="rId1"/>
  <headerFooter>
    <oddHeader>&amp;L&amp;"-,Lihavoitu"&amp;12PIIP-laskentatyökalu&amp;RKohdetiedot ja yhteenveto
Sivu &amp;P/&amp;N</oddHeader>
    <oddFooter>&amp;L&amp;G&amp;R&amp;G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6BF3-976E-4B95-B458-B319E15D587F}">
  <sheetPr codeName="Sheet3">
    <tabColor theme="5" tint="0.79998168889431442"/>
  </sheetPr>
  <dimension ref="B1:BG538"/>
  <sheetViews>
    <sheetView zoomScaleNormal="100" zoomScalePageLayoutView="85" workbookViewId="0">
      <pane xSplit="2" ySplit="2" topLeftCell="C3" activePane="bottomRight" state="frozen"/>
      <selection pane="topRight" activeCell="C1" sqref="C1"/>
      <selection pane="bottomLeft" activeCell="A3" sqref="A3"/>
      <selection pane="bottomRight" activeCell="C4" sqref="C4"/>
    </sheetView>
  </sheetViews>
  <sheetFormatPr defaultColWidth="9" defaultRowHeight="13.9" customHeight="1" x14ac:dyDescent="0.3"/>
  <cols>
    <col min="1" max="1" width="2.75" style="5" customWidth="1"/>
    <col min="2" max="2" width="86.33203125" style="5" customWidth="1"/>
    <col min="3" max="3" width="16" style="13" customWidth="1"/>
    <col min="4" max="4" width="12.75" style="87" bestFit="1" customWidth="1"/>
    <col min="5" max="5" width="2.25" style="5" customWidth="1"/>
    <col min="6" max="6" width="3.75" style="5" customWidth="1"/>
    <col min="7" max="7" width="20.75" style="13" customWidth="1"/>
    <col min="8" max="8" width="9.75" style="87" customWidth="1"/>
    <col min="9" max="9" width="5.58203125" style="5" customWidth="1"/>
    <col min="10" max="10" width="60.75" style="15" customWidth="1"/>
    <col min="11" max="12" width="15.75" style="5" customWidth="1"/>
    <col min="13" max="13" width="11" style="5" bestFit="1" customWidth="1"/>
    <col min="14" max="14" width="2.58203125" style="5" customWidth="1"/>
    <col min="15" max="15" width="80.58203125" style="258" customWidth="1"/>
    <col min="16" max="16" width="2.75" style="152" customWidth="1"/>
    <col min="17" max="17" width="2.75" style="144" customWidth="1"/>
    <col min="18" max="18" width="15.75" style="143" customWidth="1"/>
    <col min="19" max="19" width="15.75" style="144" customWidth="1"/>
    <col min="20" max="20" width="26.83203125" style="23" bestFit="1" customWidth="1"/>
    <col min="21" max="37" width="25.75" style="22" customWidth="1"/>
    <col min="38" max="39" width="15.75" style="22" customWidth="1"/>
    <col min="40" max="41" width="9" style="22"/>
    <col min="42" max="59" width="9" style="23"/>
    <col min="60" max="16384" width="9" style="5"/>
  </cols>
  <sheetData>
    <row r="1" spans="2:59" s="31" customFormat="1" ht="15.5" x14ac:dyDescent="0.3">
      <c r="C1" s="34"/>
      <c r="D1" s="84"/>
      <c r="G1" s="34"/>
      <c r="H1" s="84"/>
      <c r="J1" s="33"/>
      <c r="O1" s="171"/>
      <c r="P1" s="69"/>
      <c r="Q1" s="108"/>
      <c r="R1" s="98"/>
      <c r="S1" s="108"/>
      <c r="T1" s="37"/>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3">
      <c r="B2" s="8" t="s">
        <v>24</v>
      </c>
      <c r="C2" s="375"/>
      <c r="D2" s="376"/>
      <c r="E2" s="377"/>
      <c r="F2" s="378" t="s">
        <v>643</v>
      </c>
      <c r="G2" s="379" t="str">
        <f>IF(ISNUMBER(C4),U538,"")</f>
        <v/>
      </c>
      <c r="H2" s="380" t="s">
        <v>172</v>
      </c>
      <c r="I2" s="381"/>
      <c r="J2" s="26"/>
      <c r="O2" s="253"/>
      <c r="P2" s="146"/>
      <c r="Q2" s="141"/>
      <c r="R2" s="140"/>
      <c r="S2" s="141"/>
      <c r="T2" s="30"/>
      <c r="U2" s="29"/>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5" x14ac:dyDescent="0.3">
      <c r="C3" s="34"/>
      <c r="D3" s="84"/>
      <c r="G3" s="34"/>
      <c r="H3" s="84"/>
      <c r="J3" s="33"/>
      <c r="O3" s="171"/>
      <c r="P3" s="69"/>
      <c r="Q3" s="108"/>
      <c r="R3" s="98"/>
      <c r="S3" s="108"/>
      <c r="T3" s="37"/>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5" customHeight="1" x14ac:dyDescent="0.3">
      <c r="B4" s="81" t="s">
        <v>746</v>
      </c>
      <c r="C4" s="154"/>
      <c r="D4" s="84" t="str">
        <f>IF(ISBLANK(C4),"%","")</f>
        <v>%</v>
      </c>
      <c r="G4" s="175" t="str">
        <f>IF(ISNUMBER(C4),C4*'Kohdetiedot ja yhteenveto'!D12,"")</f>
        <v/>
      </c>
      <c r="H4" s="84" t="s">
        <v>682</v>
      </c>
      <c r="J4" s="33"/>
      <c r="O4" s="171"/>
      <c r="P4" s="69"/>
      <c r="Q4" s="108"/>
      <c r="R4" s="98"/>
      <c r="S4" s="108"/>
      <c r="T4" s="37"/>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15.5" x14ac:dyDescent="0.3">
      <c r="C5" s="34"/>
      <c r="D5" s="84"/>
      <c r="G5" s="34"/>
      <c r="H5" s="84"/>
      <c r="J5" s="33"/>
      <c r="O5" s="171"/>
      <c r="P5" s="69"/>
      <c r="Q5" s="108"/>
      <c r="R5" s="98"/>
      <c r="S5" s="108"/>
      <c r="T5" s="37"/>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196" customFormat="1" ht="23" x14ac:dyDescent="0.3">
      <c r="B6" s="197" t="s">
        <v>567</v>
      </c>
      <c r="C6" s="198"/>
      <c r="D6" s="199"/>
      <c r="G6" s="198"/>
      <c r="H6" s="199"/>
      <c r="J6" s="200"/>
      <c r="O6" s="254"/>
      <c r="P6" s="201"/>
      <c r="Q6" s="202"/>
      <c r="R6" s="203"/>
      <c r="S6" s="202"/>
      <c r="T6" s="204"/>
      <c r="U6" s="205"/>
      <c r="V6" s="205"/>
      <c r="W6" s="205"/>
      <c r="X6" s="205"/>
      <c r="Y6" s="205"/>
      <c r="Z6" s="205"/>
      <c r="AA6" s="205"/>
      <c r="AB6" s="205"/>
      <c r="AC6" s="205"/>
      <c r="AD6" s="205"/>
      <c r="AE6" s="205"/>
      <c r="AF6" s="205"/>
      <c r="AG6" s="205"/>
      <c r="AH6" s="205"/>
      <c r="AI6" s="205"/>
      <c r="AJ6" s="20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5" x14ac:dyDescent="0.3">
      <c r="C7" s="34"/>
      <c r="D7" s="84"/>
      <c r="G7" s="34"/>
      <c r="H7" s="84"/>
      <c r="J7" s="33"/>
      <c r="O7" s="171"/>
      <c r="P7" s="69"/>
      <c r="Q7" s="108"/>
      <c r="R7" s="98"/>
      <c r="S7" s="108"/>
      <c r="T7" s="37"/>
      <c r="U7" s="36"/>
      <c r="V7" s="36"/>
      <c r="W7" s="36"/>
      <c r="X7" s="36"/>
      <c r="Y7" s="36"/>
      <c r="Z7" s="36"/>
      <c r="AA7" s="36"/>
      <c r="AB7" s="36"/>
      <c r="AC7" s="36"/>
      <c r="AD7" s="36"/>
      <c r="AE7" s="36"/>
      <c r="AF7" s="36"/>
      <c r="AG7" s="36"/>
      <c r="AH7" s="36"/>
      <c r="AI7" s="36"/>
      <c r="AJ7" s="36"/>
      <c r="AK7" s="36"/>
      <c r="AL7" s="36"/>
      <c r="AM7" s="36"/>
      <c r="AN7" s="36"/>
      <c r="AO7" s="36"/>
      <c r="AP7" s="37"/>
      <c r="AQ7" s="37"/>
      <c r="AR7" s="37"/>
      <c r="AS7" s="37"/>
      <c r="AT7" s="37"/>
      <c r="AU7" s="37"/>
      <c r="AV7" s="37"/>
      <c r="AW7" s="37"/>
      <c r="AX7" s="37"/>
      <c r="AY7" s="37"/>
      <c r="AZ7" s="37"/>
      <c r="BA7" s="37"/>
      <c r="BB7" s="37"/>
      <c r="BC7" s="37"/>
      <c r="BD7" s="37"/>
      <c r="BE7" s="37"/>
      <c r="BF7" s="37"/>
      <c r="BG7" s="37"/>
    </row>
    <row r="8" spans="2:59" s="298" customFormat="1" ht="18" x14ac:dyDescent="0.3">
      <c r="B8" s="295" t="s">
        <v>692</v>
      </c>
      <c r="C8" s="296"/>
      <c r="D8" s="297"/>
      <c r="G8" s="296"/>
      <c r="H8" s="297"/>
      <c r="K8" s="296"/>
      <c r="L8" s="296"/>
      <c r="M8" s="297"/>
      <c r="N8" s="297"/>
      <c r="O8" s="300"/>
      <c r="P8" s="320"/>
      <c r="Q8" s="304"/>
      <c r="S8" s="303"/>
      <c r="T8" s="303"/>
      <c r="U8" s="303"/>
      <c r="V8" s="303"/>
      <c r="W8" s="303"/>
      <c r="X8" s="303"/>
      <c r="Y8" s="303"/>
      <c r="Z8" s="303"/>
      <c r="AA8" s="303"/>
      <c r="AB8" s="303"/>
      <c r="AC8" s="303"/>
      <c r="AD8" s="303"/>
      <c r="AE8" s="303"/>
      <c r="AF8" s="303"/>
      <c r="AG8" s="303"/>
      <c r="AH8" s="303"/>
      <c r="AI8" s="303"/>
      <c r="AJ8" s="303"/>
      <c r="AK8" s="303"/>
      <c r="AL8" s="303"/>
      <c r="AM8" s="303"/>
      <c r="AN8" s="304"/>
      <c r="AO8" s="304"/>
      <c r="AP8" s="304"/>
      <c r="AQ8" s="304"/>
      <c r="AR8" s="304"/>
      <c r="AS8" s="304"/>
      <c r="AT8" s="304"/>
      <c r="AU8" s="304"/>
      <c r="AV8" s="304"/>
      <c r="AW8" s="304"/>
      <c r="AX8" s="304"/>
      <c r="AY8" s="304"/>
      <c r="AZ8" s="304"/>
      <c r="BA8" s="304"/>
      <c r="BB8" s="304"/>
      <c r="BC8" s="304"/>
      <c r="BD8" s="304"/>
      <c r="BE8" s="304"/>
    </row>
    <row r="9" spans="2:59" s="31" customFormat="1" ht="15.5" x14ac:dyDescent="0.3">
      <c r="B9" s="9"/>
      <c r="C9" s="34"/>
      <c r="D9" s="84"/>
      <c r="G9" s="34"/>
      <c r="H9" s="84"/>
      <c r="K9" s="38"/>
      <c r="L9" s="38"/>
      <c r="M9" s="84"/>
      <c r="N9" s="84"/>
      <c r="O9" s="255"/>
      <c r="Q9" s="35"/>
      <c r="R9" s="36" t="s">
        <v>350</v>
      </c>
      <c r="S9" s="36"/>
      <c r="T9" s="36"/>
      <c r="U9" s="36"/>
      <c r="V9" s="36"/>
      <c r="W9" s="36"/>
      <c r="X9" s="36"/>
      <c r="Y9" s="36"/>
      <c r="Z9" s="36"/>
      <c r="AA9" s="36"/>
      <c r="AB9" s="36"/>
      <c r="AC9" s="36"/>
      <c r="AD9" s="36"/>
      <c r="AE9" s="36"/>
      <c r="AF9" s="36"/>
      <c r="AG9" s="36"/>
      <c r="AH9" s="36"/>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5" x14ac:dyDescent="0.3">
      <c r="B10" s="172" t="s">
        <v>438</v>
      </c>
      <c r="C10" s="34"/>
      <c r="D10" s="84"/>
      <c r="G10" s="34"/>
      <c r="H10" s="84"/>
      <c r="K10" s="38" t="s">
        <v>329</v>
      </c>
      <c r="L10" s="38" t="s">
        <v>201</v>
      </c>
      <c r="M10" s="84"/>
      <c r="N10" s="84"/>
      <c r="O10" s="255" t="s">
        <v>644</v>
      </c>
      <c r="Q10" s="35"/>
      <c r="R10" s="36" t="s">
        <v>172</v>
      </c>
      <c r="S10" s="36"/>
      <c r="T10" s="36" t="s">
        <v>446</v>
      </c>
      <c r="U10" s="36" t="s">
        <v>445</v>
      </c>
      <c r="V10" s="36" t="s">
        <v>443</v>
      </c>
      <c r="W10" s="36" t="s">
        <v>444</v>
      </c>
      <c r="X10" s="36" t="s">
        <v>447</v>
      </c>
      <c r="Y10" s="36" t="s">
        <v>449</v>
      </c>
      <c r="Z10" s="36" t="s">
        <v>448</v>
      </c>
      <c r="AA10" s="36" t="s">
        <v>202</v>
      </c>
      <c r="AB10" s="36" t="s">
        <v>380</v>
      </c>
      <c r="AC10" s="36" t="s">
        <v>450</v>
      </c>
      <c r="AD10" s="36" t="s">
        <v>381</v>
      </c>
      <c r="AE10" s="36" t="s">
        <v>451</v>
      </c>
      <c r="AF10" s="36" t="s">
        <v>452</v>
      </c>
      <c r="AG10" s="36" t="s">
        <v>638</v>
      </c>
      <c r="AH10" s="36" t="s">
        <v>206</v>
      </c>
      <c r="AI10" s="36" t="s">
        <v>278</v>
      </c>
      <c r="AJ10" s="36" t="s">
        <v>207</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46.5" x14ac:dyDescent="0.3">
      <c r="B11" s="170" t="s">
        <v>504</v>
      </c>
      <c r="C11" s="392" t="s">
        <v>93</v>
      </c>
      <c r="D11" s="393"/>
      <c r="E11" s="393"/>
      <c r="F11" s="393"/>
      <c r="G11" s="394"/>
      <c r="H11" s="169"/>
      <c r="J11" s="173" t="s">
        <v>441</v>
      </c>
      <c r="K11" s="96">
        <f>IF(ISNUMBER(L11),L11,IF(OR(C11=Pudotusvalikot!$D$14,C11=Pudotusvalikot!$D$15),Kalusto!$G$96,VLOOKUP(C11,Kalusto!$C$44:$G$83,5,FALSE))*IF(OR(C12=Pudotusvalikot!$V$3,C12=Pudotusvalikot!$V$4),Muut!$E$38,IF(C12=Pudotusvalikot!$V$5,Muut!$E$39,IF(C12=Pudotusvalikot!$V$6,Muut!$E$40,Muut!$E$41))))</f>
        <v>5.7709999999999997E-2</v>
      </c>
      <c r="L11" s="40"/>
      <c r="M11" s="41" t="s">
        <v>200</v>
      </c>
      <c r="N11" s="41"/>
      <c r="O11" s="256"/>
      <c r="Q11" s="47"/>
      <c r="R11" s="50" t="str">
        <f ca="1">IF(AND(NOT(ISNUMBER(AB11)),NOT(ISNUMBER(AG11))),"",IF(ISNUMBER(AB11),AB11,0)+IF(ISNUMBER(AG11),AG11,0))</f>
        <v/>
      </c>
      <c r="S11" s="102" t="s">
        <v>484</v>
      </c>
      <c r="T11" s="48" t="str">
        <f>IF(ISNUMBER(L11),"Kohdetieto",IF(OR(C11=Pudotusvalikot!$D$14,C11=Pudotusvalikot!$D$15),Kalusto!$I$96,VLOOKUP(C11,Kalusto!$C$44:$L$83,7,FALSE)))</f>
        <v>Puoliperävaunu</v>
      </c>
      <c r="U11" s="48">
        <f>IF(ISNUMBER(L11),"Kohdetieto",IF(OR(C11=Pudotusvalikot!$D$14,C11=Pudotusvalikot!$D$15),Kalusto!$J$96,VLOOKUP(C11,Kalusto!$C$44:$L$83,8,FALSE)))</f>
        <v>40</v>
      </c>
      <c r="V11" s="49">
        <f>IF(ISNUMBER(L11),"Kohdetieto",IF(OR(C11=Pudotusvalikot!$D$14,C11=Pudotusvalikot!$D$15),Kalusto!$K$96,VLOOKUP(C11,Kalusto!$C$44:$L$83,9,FALSE)))</f>
        <v>0.8</v>
      </c>
      <c r="W11" s="49" t="str">
        <f>IF(ISNUMBER(L11),"Kohdetieto",IF(OR(C11=Pudotusvalikot!$D$14,C11=Pudotusvalikot!$D$15),Kalusto!$L$96,VLOOKUP(C11,Kalusto!$C$44:$L$83,10,FALSE)))</f>
        <v>maantieajo</v>
      </c>
      <c r="X11" s="50" t="str">
        <f>IF(ISBLANK(C13),"",C13)</f>
        <v/>
      </c>
      <c r="Y11" s="48" t="str">
        <f>IF(ISNUMBER(C14),C14,"")</f>
        <v/>
      </c>
      <c r="Z11" s="50" t="str">
        <f>IF(ISNUMBER(X11/(U11*V11)*Y11),X11/(U11*V11)*Y11,"")</f>
        <v/>
      </c>
      <c r="AA11" s="51">
        <f>IF(ISNUMBER(L11),L11,K11)</f>
        <v>5.7709999999999997E-2</v>
      </c>
      <c r="AB11" s="50" t="str">
        <f>IF(ISNUMBER(Y11*X11*K11),Y11*X11*K11,"")</f>
        <v/>
      </c>
      <c r="AC11" s="50" t="str">
        <f>IF(C26="Kyllä",Y11,"")</f>
        <v/>
      </c>
      <c r="AD11" s="50" t="str">
        <f>IF(C26="Kyllä",IF(ISNUMBER(X11/(U11*V11)),CEILING(X11/(U11*V11),1),""),"")</f>
        <v/>
      </c>
      <c r="AE11" s="50" t="str">
        <f>IF(ISNUMBER(AD11*AC11),AD11*AC11,"")</f>
        <v/>
      </c>
      <c r="AF11" s="51">
        <f ca="1">IF(ISNUMBER(L13),L13,K13)</f>
        <v>0.81247999999999998</v>
      </c>
      <c r="AG11" s="50" t="str">
        <f ca="1">IF(ISNUMBER(AC11*AD11*K13),AC11*AD11*K13,"")</f>
        <v/>
      </c>
      <c r="AH11" s="48">
        <f>IF(T11="Jakelukuorma-auto",0,IF(T11="Maansiirtoauto",4,IF(T11="Puoliperävaunu",6,8)))</f>
        <v>6</v>
      </c>
      <c r="AI11" s="48">
        <f>IF(AND(T11="Jakelukuorma-auto",U11=6),0,IF(AND(T11="Jakelukuorma-auto",U11=15),2,0))</f>
        <v>0</v>
      </c>
      <c r="AJ11" s="48">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5" x14ac:dyDescent="0.3">
      <c r="B12" s="186" t="s">
        <v>506</v>
      </c>
      <c r="C12" s="160" t="s">
        <v>242</v>
      </c>
      <c r="D12" s="34"/>
      <c r="E12" s="34"/>
      <c r="F12" s="34"/>
      <c r="G12" s="34"/>
      <c r="H12" s="59"/>
      <c r="J12" s="173"/>
      <c r="K12" s="173"/>
      <c r="L12" s="173"/>
      <c r="M12" s="41"/>
      <c r="N12" s="41"/>
      <c r="O12" s="256"/>
      <c r="Q12" s="47"/>
      <c r="R12" s="36"/>
      <c r="S12" s="36"/>
      <c r="T12" s="36"/>
      <c r="U12" s="36"/>
      <c r="V12" s="181"/>
      <c r="W12" s="181"/>
      <c r="X12" s="61"/>
      <c r="Y12" s="36"/>
      <c r="Z12" s="61"/>
      <c r="AA12" s="182"/>
      <c r="AB12" s="61"/>
      <c r="AC12" s="61"/>
      <c r="AD12" s="61"/>
      <c r="AE12" s="61"/>
      <c r="AF12" s="182"/>
      <c r="AG12" s="61"/>
      <c r="AH12" s="36"/>
      <c r="AI12" s="36"/>
      <c r="AJ12" s="36"/>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5" x14ac:dyDescent="0.3">
      <c r="B13" s="45" t="s">
        <v>573</v>
      </c>
      <c r="C13" s="156"/>
      <c r="D13" s="84" t="s">
        <v>52</v>
      </c>
      <c r="G13" s="34"/>
      <c r="H13" s="84"/>
      <c r="J13" s="33" t="s">
        <v>442</v>
      </c>
      <c r="K13" s="96">
        <f ca="1">IF(ISNUMBER(L13),L13,IF($C$115="Ei","",IF(AND($C$115="Kyllä",OR(C11=Pudotusvalikot!$D$14,C11=Pudotusvalikot!$D$15)),Kalusto!$G$97,OFFSET(Kalusto!$G$85,AH11+AJ11+AI11,0,1,1)))*IF(OR(C12=Pudotusvalikot!$V$3,C12=Pudotusvalikot!$V$4),Muut!$E$38,IF(C12=Pudotusvalikot!$V$5,Muut!$E$39,IF(C12=Pudotusvalikot!$V$6,Muut!$E$40,Muut!$E$41))))</f>
        <v>0.81247999999999998</v>
      </c>
      <c r="L13" s="40"/>
      <c r="M13" s="41" t="s">
        <v>204</v>
      </c>
      <c r="N13" s="41"/>
      <c r="O13" s="256"/>
      <c r="P13" s="34"/>
      <c r="Q13" s="52"/>
      <c r="R13" s="50" t="str">
        <f ca="1">IF(ISNUMBER(R11),R11,"")</f>
        <v/>
      </c>
      <c r="S13" s="102" t="s">
        <v>485</v>
      </c>
      <c r="T13" s="36"/>
      <c r="U13" s="36"/>
      <c r="V13" s="36"/>
      <c r="W13" s="36"/>
      <c r="X13" s="36"/>
      <c r="Y13" s="36"/>
      <c r="Z13" s="36"/>
      <c r="AA13" s="36"/>
      <c r="AB13" s="36"/>
      <c r="AC13" s="36"/>
      <c r="AD13" s="36"/>
      <c r="AE13" s="36"/>
      <c r="AF13" s="36"/>
      <c r="AG13" s="36"/>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5" x14ac:dyDescent="0.3">
      <c r="B14" s="45" t="s">
        <v>574</v>
      </c>
      <c r="C14" s="156"/>
      <c r="D14" s="84" t="s">
        <v>5</v>
      </c>
      <c r="G14" s="34"/>
      <c r="H14" s="84"/>
      <c r="I14" s="53"/>
      <c r="J14" s="53"/>
      <c r="K14" s="34"/>
      <c r="L14" s="34"/>
      <c r="M14" s="84"/>
      <c r="N14" s="84"/>
      <c r="O14" s="257"/>
      <c r="P14" s="53"/>
      <c r="Q14" s="52"/>
      <c r="R14" s="36" t="s">
        <v>350</v>
      </c>
      <c r="S14" s="37"/>
      <c r="T14" s="36"/>
      <c r="U14" s="36"/>
      <c r="V14" s="36"/>
      <c r="W14" s="36"/>
      <c r="X14" s="36"/>
      <c r="Y14" s="36"/>
      <c r="Z14" s="36"/>
      <c r="AA14" s="36"/>
      <c r="AB14" s="36"/>
      <c r="AC14" s="36"/>
      <c r="AD14" s="36"/>
      <c r="AE14" s="36"/>
      <c r="AF14" s="36"/>
      <c r="AG14" s="36"/>
      <c r="AH14" s="36"/>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5" x14ac:dyDescent="0.3">
      <c r="B15" s="172" t="s">
        <v>439</v>
      </c>
      <c r="C15" s="34"/>
      <c r="D15" s="84"/>
      <c r="G15" s="34"/>
      <c r="H15" s="84"/>
      <c r="J15" s="33"/>
      <c r="K15" s="38" t="s">
        <v>329</v>
      </c>
      <c r="L15" s="38" t="s">
        <v>201</v>
      </c>
      <c r="M15" s="84"/>
      <c r="N15" s="84"/>
      <c r="O15" s="257"/>
      <c r="P15" s="34"/>
      <c r="Q15" s="35"/>
      <c r="R15" s="36" t="s">
        <v>172</v>
      </c>
      <c r="S15" s="36"/>
      <c r="T15" s="36" t="s">
        <v>446</v>
      </c>
      <c r="U15" s="36" t="s">
        <v>445</v>
      </c>
      <c r="V15" s="36" t="s">
        <v>443</v>
      </c>
      <c r="W15" s="36" t="s">
        <v>444</v>
      </c>
      <c r="X15" s="36" t="s">
        <v>447</v>
      </c>
      <c r="Y15" s="36" t="s">
        <v>449</v>
      </c>
      <c r="Z15" s="36" t="s">
        <v>448</v>
      </c>
      <c r="AA15" s="36" t="s">
        <v>202</v>
      </c>
      <c r="AB15" s="36" t="s">
        <v>380</v>
      </c>
      <c r="AC15" s="36" t="s">
        <v>450</v>
      </c>
      <c r="AD15" s="36" t="s">
        <v>381</v>
      </c>
      <c r="AE15" s="36" t="s">
        <v>451</v>
      </c>
      <c r="AF15" s="36" t="s">
        <v>452</v>
      </c>
      <c r="AG15" s="36" t="s">
        <v>638</v>
      </c>
      <c r="AH15" s="36" t="s">
        <v>206</v>
      </c>
      <c r="AI15" s="36" t="s">
        <v>278</v>
      </c>
      <c r="AJ15" s="36" t="s">
        <v>207</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46.5" x14ac:dyDescent="0.3">
      <c r="B16" s="170" t="s">
        <v>504</v>
      </c>
      <c r="C16" s="392" t="s">
        <v>93</v>
      </c>
      <c r="D16" s="393"/>
      <c r="E16" s="393"/>
      <c r="F16" s="393"/>
      <c r="G16" s="394"/>
      <c r="H16" s="169"/>
      <c r="J16" s="173" t="s">
        <v>441</v>
      </c>
      <c r="K16" s="96">
        <f>IF(ISNUMBER(L16),L16,IF(OR(C16=Pudotusvalikot!$D$14,C16=Pudotusvalikot!$D$15),Kalusto!$G$96,VLOOKUP(C16,Kalusto!$C$44:$G$83,5,FALSE))*IF(OR(C17=Pudotusvalikot!$V$3,C17=Pudotusvalikot!$V$4),Muut!$E$38,IF(C17=Pudotusvalikot!$V$5,Muut!$E$39,IF(C17=Pudotusvalikot!$V$6,Muut!$E$40,Muut!$E$41))))</f>
        <v>5.7709999999999997E-2</v>
      </c>
      <c r="L16" s="40"/>
      <c r="M16" s="41" t="s">
        <v>200</v>
      </c>
      <c r="N16" s="41"/>
      <c r="O16" s="256"/>
      <c r="Q16" s="47"/>
      <c r="R16" s="50" t="str">
        <f ca="1">IF(AND(NOT(ISNUMBER(AB16)),NOT(ISNUMBER(AG16))),"",IF(ISNUMBER(AB16),AB16,0)+IF(ISNUMBER(AG16),AG16,0))</f>
        <v/>
      </c>
      <c r="S16" s="102" t="s">
        <v>484</v>
      </c>
      <c r="T16" s="48" t="str">
        <f>IF(ISNUMBER(L16),"Kohdetieto",IF(OR(C16=Pudotusvalikot!$D$14,C16=Pudotusvalikot!$D$15),Kalusto!$I$96,VLOOKUP(C16,Kalusto!$C$44:$L$83,7,FALSE)))</f>
        <v>Puoliperävaunu</v>
      </c>
      <c r="U16" s="48">
        <f>IF(ISNUMBER(L16),"Kohdetieto",IF(OR(C16=Pudotusvalikot!$D$14,C16=Pudotusvalikot!$D$15),Kalusto!$J$96,VLOOKUP(C16,Kalusto!$C$44:$L$83,8,FALSE)))</f>
        <v>40</v>
      </c>
      <c r="V16" s="49">
        <f>IF(ISNUMBER(L16),"Kohdetieto",IF(OR(C16=Pudotusvalikot!$D$14,C16=Pudotusvalikot!$D$15),Kalusto!$K$96,VLOOKUP(C16,Kalusto!$C$44:$L$83,9,FALSE)))</f>
        <v>0.8</v>
      </c>
      <c r="W16" s="49" t="str">
        <f>IF(ISNUMBER(L16),"Kohdetieto",IF(OR(C16=Pudotusvalikot!$D$14,C16=Pudotusvalikot!$D$15),Kalusto!$L$96,VLOOKUP(C16,Kalusto!$C$44:$L$83,10,FALSE)))</f>
        <v>maantieajo</v>
      </c>
      <c r="X16" s="50" t="str">
        <f>IF(ISBLANK(C18),"",C18)</f>
        <v/>
      </c>
      <c r="Y16" s="48" t="str">
        <f>IF(ISNUMBER(C19),C19,"")</f>
        <v/>
      </c>
      <c r="Z16" s="50" t="str">
        <f>IF(ISNUMBER(X16/(U16*V16)*Y16),X16/(U16*V16)*Y16,"")</f>
        <v/>
      </c>
      <c r="AA16" s="51">
        <f>IF(ISNUMBER(L16),L16,K16)</f>
        <v>5.7709999999999997E-2</v>
      </c>
      <c r="AB16" s="50" t="str">
        <f>IF(ISNUMBER(Y16*X16*K16),Y16*X16*K16,"")</f>
        <v/>
      </c>
      <c r="AC16" s="50" t="str">
        <f>IF(C31="Kyllä",Y16,"")</f>
        <v/>
      </c>
      <c r="AD16" s="50" t="str">
        <f>IF(C31="Kyllä",IF(ISNUMBER(X16/(U16*V16)),CEILING(X16/(U16*V16),1),""),"")</f>
        <v/>
      </c>
      <c r="AE16" s="50" t="str">
        <f>IF(ISNUMBER(AD16*AC16),AD16*AC16,"")</f>
        <v/>
      </c>
      <c r="AF16" s="51">
        <f ca="1">IF(ISNUMBER(L18),L18,K18)</f>
        <v>0.81247999999999998</v>
      </c>
      <c r="AG16" s="50" t="str">
        <f ca="1">IF(ISNUMBER(AC16*AD16*K18),AC16*AD16*K18,"")</f>
        <v/>
      </c>
      <c r="AH16" s="48">
        <f>IF(T16="Jakelukuorma-auto",0,IF(T16="Maansiirtoauto",4,IF(T16="Puoliperävaunu",6,8)))</f>
        <v>6</v>
      </c>
      <c r="AI16" s="48">
        <f>IF(AND(T16="Jakelukuorma-auto",U16=6),0,IF(AND(T16="Jakelukuorma-auto",U16=15),2,0))</f>
        <v>0</v>
      </c>
      <c r="AJ16" s="48">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5" x14ac:dyDescent="0.3">
      <c r="B17" s="186" t="s">
        <v>506</v>
      </c>
      <c r="C17" s="160" t="s">
        <v>242</v>
      </c>
      <c r="D17" s="34"/>
      <c r="E17" s="34"/>
      <c r="F17" s="34"/>
      <c r="G17" s="34"/>
      <c r="H17" s="59"/>
      <c r="J17" s="173"/>
      <c r="K17" s="173"/>
      <c r="L17" s="173"/>
      <c r="M17" s="41"/>
      <c r="N17" s="41"/>
      <c r="O17" s="256"/>
      <c r="Q17" s="47"/>
      <c r="R17" s="36"/>
      <c r="S17" s="36"/>
      <c r="T17" s="36"/>
      <c r="U17" s="36"/>
      <c r="V17" s="181"/>
      <c r="W17" s="181"/>
      <c r="X17" s="61"/>
      <c r="Y17" s="36"/>
      <c r="Z17" s="61"/>
      <c r="AA17" s="182"/>
      <c r="AB17" s="61"/>
      <c r="AC17" s="61"/>
      <c r="AD17" s="61"/>
      <c r="AE17" s="61"/>
      <c r="AF17" s="182"/>
      <c r="AG17" s="61"/>
      <c r="AH17" s="36"/>
      <c r="AI17" s="36"/>
      <c r="AJ17" s="36"/>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5" x14ac:dyDescent="0.3">
      <c r="B18" s="45" t="s">
        <v>573</v>
      </c>
      <c r="C18" s="157"/>
      <c r="D18" s="84" t="s">
        <v>52</v>
      </c>
      <c r="G18" s="34"/>
      <c r="H18" s="84"/>
      <c r="J18" s="33" t="s">
        <v>442</v>
      </c>
      <c r="K18" s="96">
        <f ca="1">IF(ISNUMBER(L18),L18,IF($C$115="Ei","",IF(AND($C$115="Kyllä",OR(C16=Pudotusvalikot!$D$14,C16=Pudotusvalikot!$D$15)),Kalusto!$G$97,OFFSET(Kalusto!$G$85,AH16+AJ16+AI16,0,1,1)))*IF(OR(C17=Pudotusvalikot!$V$3,C17=Pudotusvalikot!$V$4),Muut!$E$38,IF(C17=Pudotusvalikot!$V$5,Muut!$E$39,IF(C17=Pudotusvalikot!$V$6,Muut!$E$40,Muut!$E$41))))</f>
        <v>0.81247999999999998</v>
      </c>
      <c r="L18" s="40"/>
      <c r="M18" s="41" t="s">
        <v>204</v>
      </c>
      <c r="N18" s="41"/>
      <c r="O18" s="256"/>
      <c r="P18" s="34"/>
      <c r="Q18" s="52"/>
      <c r="R18" s="50" t="str">
        <f ca="1">IF(ISNUMBER(R16),R16,"")</f>
        <v/>
      </c>
      <c r="S18" s="102" t="s">
        <v>485</v>
      </c>
      <c r="T18" s="36"/>
      <c r="U18" s="36"/>
      <c r="V18" s="36"/>
      <c r="W18" s="36"/>
      <c r="X18" s="36"/>
      <c r="Y18" s="36"/>
      <c r="Z18" s="36"/>
      <c r="AA18" s="36"/>
      <c r="AB18" s="36"/>
      <c r="AC18" s="36"/>
      <c r="AD18" s="36"/>
      <c r="AE18" s="36"/>
      <c r="AF18" s="36"/>
      <c r="AG18" s="36"/>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5" x14ac:dyDescent="0.3">
      <c r="B19" s="45" t="s">
        <v>574</v>
      </c>
      <c r="C19" s="158"/>
      <c r="D19" s="84" t="s">
        <v>5</v>
      </c>
      <c r="G19" s="34"/>
      <c r="H19" s="84"/>
      <c r="I19" s="53"/>
      <c r="J19" s="53"/>
      <c r="K19" s="34"/>
      <c r="L19" s="34"/>
      <c r="M19" s="84"/>
      <c r="N19" s="84"/>
      <c r="O19" s="257"/>
      <c r="P19" s="53"/>
      <c r="Q19" s="52"/>
      <c r="R19" s="36" t="s">
        <v>350</v>
      </c>
      <c r="S19" s="36"/>
      <c r="T19" s="36"/>
      <c r="U19" s="36"/>
      <c r="V19" s="36"/>
      <c r="W19" s="36"/>
      <c r="X19" s="36"/>
      <c r="Y19" s="36"/>
      <c r="Z19" s="36"/>
      <c r="AA19" s="36"/>
      <c r="AB19" s="36"/>
      <c r="AC19" s="36"/>
      <c r="AD19" s="36"/>
      <c r="AE19" s="36"/>
      <c r="AF19" s="36"/>
      <c r="AG19" s="36"/>
      <c r="AH19" s="36"/>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5" x14ac:dyDescent="0.3">
      <c r="B20" s="172" t="s">
        <v>440</v>
      </c>
      <c r="C20" s="34"/>
      <c r="D20" s="84"/>
      <c r="G20" s="34"/>
      <c r="H20" s="84"/>
      <c r="J20" s="33"/>
      <c r="K20" s="38" t="s">
        <v>329</v>
      </c>
      <c r="L20" s="38" t="s">
        <v>201</v>
      </c>
      <c r="M20" s="84"/>
      <c r="N20" s="84"/>
      <c r="O20" s="257"/>
      <c r="P20" s="34"/>
      <c r="Q20" s="35"/>
      <c r="R20" s="36" t="s">
        <v>172</v>
      </c>
      <c r="S20" s="36"/>
      <c r="T20" s="36" t="s">
        <v>446</v>
      </c>
      <c r="U20" s="36" t="s">
        <v>445</v>
      </c>
      <c r="V20" s="36" t="s">
        <v>443</v>
      </c>
      <c r="W20" s="36" t="s">
        <v>444</v>
      </c>
      <c r="X20" s="36" t="s">
        <v>447</v>
      </c>
      <c r="Y20" s="36" t="s">
        <v>449</v>
      </c>
      <c r="Z20" s="36" t="s">
        <v>448</v>
      </c>
      <c r="AA20" s="36" t="s">
        <v>202</v>
      </c>
      <c r="AB20" s="36" t="s">
        <v>380</v>
      </c>
      <c r="AC20" s="36" t="s">
        <v>450</v>
      </c>
      <c r="AD20" s="36" t="s">
        <v>381</v>
      </c>
      <c r="AE20" s="36" t="s">
        <v>451</v>
      </c>
      <c r="AF20" s="36" t="s">
        <v>452</v>
      </c>
      <c r="AG20" s="36" t="s">
        <v>638</v>
      </c>
      <c r="AH20" s="36" t="s">
        <v>206</v>
      </c>
      <c r="AI20" s="36" t="s">
        <v>278</v>
      </c>
      <c r="AJ20" s="36" t="s">
        <v>207</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46.5" x14ac:dyDescent="0.3">
      <c r="B21" s="170" t="s">
        <v>504</v>
      </c>
      <c r="C21" s="392" t="s">
        <v>93</v>
      </c>
      <c r="D21" s="393"/>
      <c r="E21" s="393"/>
      <c r="F21" s="393"/>
      <c r="G21" s="394"/>
      <c r="H21" s="169"/>
      <c r="J21" s="173" t="s">
        <v>441</v>
      </c>
      <c r="K21" s="96">
        <f>IF(ISNUMBER(L21),L21,IF(OR(C21=Pudotusvalikot!$D$14,C21=Pudotusvalikot!$D$15),Kalusto!$G$96,VLOOKUP(C21,Kalusto!$C$44:$G$83,5,FALSE))*IF(OR(C22=Pudotusvalikot!$V$3,C22=Pudotusvalikot!$V$4),Muut!$E$38,IF(C22=Pudotusvalikot!$V$5,Muut!$E$39,IF(C22=Pudotusvalikot!$V$6,Muut!$E$40,Muut!$E$41))))</f>
        <v>5.7709999999999997E-2</v>
      </c>
      <c r="L21" s="40"/>
      <c r="M21" s="41" t="s">
        <v>200</v>
      </c>
      <c r="N21" s="41"/>
      <c r="O21" s="256"/>
      <c r="Q21" s="47"/>
      <c r="R21" s="50" t="str">
        <f ca="1">IF(AND(NOT(ISNUMBER(AB21)),NOT(ISNUMBER(AG21))),"",IF(ISNUMBER(AB21),AB21,0)+IF(ISNUMBER(AG21),AG21,0))</f>
        <v/>
      </c>
      <c r="S21" s="102" t="s">
        <v>484</v>
      </c>
      <c r="T21" s="48" t="str">
        <f>IF(ISNUMBER(L21),"Kohdetieto",IF(OR(C21=Pudotusvalikot!$D$14,C21=Pudotusvalikot!$D$15),Kalusto!$I$96,VLOOKUP(C21,Kalusto!$C$44:$L$83,7,FALSE)))</f>
        <v>Puoliperävaunu</v>
      </c>
      <c r="U21" s="48">
        <f>IF(ISNUMBER(L21),"Kohdetieto",IF(OR(C21=Pudotusvalikot!$D$14,C21=Pudotusvalikot!$D$15),Kalusto!$J$96,VLOOKUP(C21,Kalusto!$C$44:$L$83,8,FALSE)))</f>
        <v>40</v>
      </c>
      <c r="V21" s="49">
        <f>IF(ISNUMBER(L21),"Kohdetieto",IF(OR(C21=Pudotusvalikot!$D$14,C21=Pudotusvalikot!$D$15),Kalusto!$K$96,VLOOKUP(C21,Kalusto!$C$44:$L$83,9,FALSE)))</f>
        <v>0.8</v>
      </c>
      <c r="W21" s="49" t="str">
        <f>IF(ISNUMBER(L21),"Kohdetieto",IF(OR(C21=Pudotusvalikot!$D$14,C21=Pudotusvalikot!$D$15),Kalusto!$L$96,VLOOKUP(C21,Kalusto!$C$44:$L$83,10,FALSE)))</f>
        <v>maantieajo</v>
      </c>
      <c r="X21" s="50" t="str">
        <f>IF(ISBLANK(C23),"",C23)</f>
        <v/>
      </c>
      <c r="Y21" s="48" t="str">
        <f>IF(ISNUMBER(C24),C24,"")</f>
        <v/>
      </c>
      <c r="Z21" s="50" t="str">
        <f>IF(ISNUMBER(X21/(U21*V21)*Y21),X21/(U21*V21)*Y21,"")</f>
        <v/>
      </c>
      <c r="AA21" s="51">
        <f>IF(ISNUMBER(L21),L21,K21)</f>
        <v>5.7709999999999997E-2</v>
      </c>
      <c r="AB21" s="50" t="str">
        <f>IF(ISNUMBER(Y21*X21*K21),Y21*X21*K21,"")</f>
        <v/>
      </c>
      <c r="AC21" s="50" t="str">
        <f>IF(C36="Kyllä",Y21,"")</f>
        <v/>
      </c>
      <c r="AD21" s="50" t="str">
        <f>IF(C36="Kyllä",IF(ISNUMBER(X21/(U21*V21)),CEILING(X21/(U21*V21),1),""),"")</f>
        <v/>
      </c>
      <c r="AE21" s="50" t="str">
        <f>IF(ISNUMBER(AD21*AC21),AD21*AC21,"")</f>
        <v/>
      </c>
      <c r="AF21" s="51">
        <f ca="1">IF(ISNUMBER(L23),L23,K23)</f>
        <v>0.81247999999999998</v>
      </c>
      <c r="AG21" s="50" t="str">
        <f ca="1">IF(ISNUMBER(AC21*AD21*K23),AC21*AD21*K23,"")</f>
        <v/>
      </c>
      <c r="AH21" s="48">
        <f>IF(T21="Jakelukuorma-auto",0,IF(T21="Maansiirtoauto",4,IF(T21="Puoliperävaunu",6,8)))</f>
        <v>6</v>
      </c>
      <c r="AI21" s="48">
        <f>IF(AND(T21="Jakelukuorma-auto",U21=6),0,IF(AND(T21="Jakelukuorma-auto",U21=15),2,0))</f>
        <v>0</v>
      </c>
      <c r="AJ21" s="48">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5" x14ac:dyDescent="0.3">
      <c r="B22" s="186" t="s">
        <v>506</v>
      </c>
      <c r="C22" s="160" t="s">
        <v>242</v>
      </c>
      <c r="D22" s="34"/>
      <c r="E22" s="34"/>
      <c r="F22" s="34"/>
      <c r="G22" s="34"/>
      <c r="H22" s="59"/>
      <c r="J22" s="173"/>
      <c r="K22" s="173"/>
      <c r="L22" s="173"/>
      <c r="M22" s="41"/>
      <c r="N22" s="41"/>
      <c r="O22" s="256"/>
      <c r="Q22" s="47"/>
      <c r="R22" s="36"/>
      <c r="S22" s="36"/>
      <c r="T22" s="36"/>
      <c r="U22" s="36"/>
      <c r="V22" s="181"/>
      <c r="W22" s="181"/>
      <c r="X22" s="61"/>
      <c r="Y22" s="36"/>
      <c r="Z22" s="61"/>
      <c r="AA22" s="182"/>
      <c r="AB22" s="61"/>
      <c r="AC22" s="61"/>
      <c r="AD22" s="61"/>
      <c r="AE22" s="61"/>
      <c r="AF22" s="182"/>
      <c r="AG22" s="61"/>
      <c r="AH22" s="36"/>
      <c r="AI22" s="36"/>
      <c r="AJ22" s="36"/>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5" x14ac:dyDescent="0.3">
      <c r="B23" s="45" t="s">
        <v>505</v>
      </c>
      <c r="C23" s="156"/>
      <c r="D23" s="84" t="s">
        <v>52</v>
      </c>
      <c r="G23" s="34"/>
      <c r="H23" s="84"/>
      <c r="J23" s="33" t="s">
        <v>442</v>
      </c>
      <c r="K23" s="96">
        <f ca="1">IF(ISNUMBER(L23),L23,IF($C$115="Ei","",IF(AND($C$115="Kyllä",OR(C21=Pudotusvalikot!$D$14,C21=Pudotusvalikot!$D$15)),Kalusto!$G$97,OFFSET(Kalusto!$G$85,AH21+AJ21+AI21,0,1,1)))*IF(OR(C22=Pudotusvalikot!$V$3,C22=Pudotusvalikot!$V$4),Muut!$E$38,IF(C22=Pudotusvalikot!$V$5,Muut!$E$39,IF(C22=Pudotusvalikot!$V$6,Muut!$E$40,Muut!$E$41))))</f>
        <v>0.81247999999999998</v>
      </c>
      <c r="L23" s="40"/>
      <c r="M23" s="41" t="s">
        <v>204</v>
      </c>
      <c r="N23" s="41"/>
      <c r="O23" s="256"/>
      <c r="P23" s="34"/>
      <c r="Q23" s="52"/>
      <c r="R23" s="50" t="str">
        <f ca="1">IF(ISNUMBER(R21),R21,"")</f>
        <v/>
      </c>
      <c r="S23" s="102" t="s">
        <v>485</v>
      </c>
      <c r="T23" s="36"/>
      <c r="U23" s="36"/>
      <c r="V23" s="36"/>
      <c r="W23" s="36"/>
      <c r="X23" s="36"/>
      <c r="Y23" s="36"/>
      <c r="Z23" s="36"/>
      <c r="AA23" s="36"/>
      <c r="AB23" s="36"/>
      <c r="AC23" s="36"/>
      <c r="AD23" s="36"/>
      <c r="AE23" s="36"/>
      <c r="AF23" s="36"/>
      <c r="AG23" s="36"/>
      <c r="AH23" s="36"/>
      <c r="AI23" s="36"/>
      <c r="AJ23" s="36"/>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5" x14ac:dyDescent="0.3">
      <c r="B24" s="45" t="s">
        <v>507</v>
      </c>
      <c r="C24" s="156"/>
      <c r="D24" s="84" t="s">
        <v>5</v>
      </c>
      <c r="G24" s="34"/>
      <c r="H24" s="84"/>
      <c r="I24" s="53"/>
      <c r="J24" s="53"/>
      <c r="K24" s="34"/>
      <c r="L24" s="34"/>
      <c r="M24" s="84"/>
      <c r="N24" s="84"/>
      <c r="O24" s="257"/>
      <c r="P24" s="53"/>
      <c r="Q24" s="52"/>
      <c r="R24" s="36"/>
      <c r="S24" s="36"/>
      <c r="T24" s="36"/>
      <c r="U24" s="36"/>
      <c r="V24" s="36"/>
      <c r="W24" s="36"/>
      <c r="X24" s="36"/>
      <c r="Y24" s="36"/>
      <c r="Z24" s="36"/>
      <c r="AA24" s="36"/>
      <c r="AB24" s="36"/>
      <c r="AC24" s="36"/>
      <c r="AD24" s="36"/>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5" x14ac:dyDescent="0.3">
      <c r="C25" s="34"/>
      <c r="D25" s="84"/>
      <c r="G25" s="34"/>
      <c r="H25" s="84"/>
      <c r="J25" s="33"/>
      <c r="K25" s="34"/>
      <c r="L25" s="34"/>
      <c r="M25" s="84"/>
      <c r="N25" s="84"/>
      <c r="O25" s="257"/>
      <c r="Q25" s="35"/>
      <c r="R25" s="36"/>
      <c r="S25" s="36"/>
      <c r="T25" s="36"/>
      <c r="U25" s="36"/>
      <c r="V25" s="36"/>
      <c r="W25" s="36"/>
      <c r="X25" s="36"/>
      <c r="Y25" s="36"/>
      <c r="Z25" s="36"/>
      <c r="AA25" s="36"/>
      <c r="AB25" s="36"/>
      <c r="AC25" s="36"/>
      <c r="AD25" s="36"/>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46.5" x14ac:dyDescent="0.3">
      <c r="B26" s="78" t="s">
        <v>668</v>
      </c>
      <c r="C26" s="392" t="s">
        <v>6</v>
      </c>
      <c r="D26" s="394"/>
      <c r="G26" s="82" t="str">
        <f>C26</f>
        <v>Kyllä</v>
      </c>
      <c r="H26" s="84"/>
      <c r="J26" s="33"/>
      <c r="K26" s="34"/>
      <c r="L26" s="34"/>
      <c r="M26" s="84"/>
      <c r="N26" s="84"/>
      <c r="O26" s="257"/>
      <c r="Q26" s="35"/>
      <c r="R26" s="99"/>
      <c r="S26" s="36"/>
      <c r="T26" s="36"/>
      <c r="U26" s="36"/>
      <c r="V26" s="36"/>
      <c r="W26" s="36"/>
      <c r="X26" s="36"/>
      <c r="Y26" s="36"/>
      <c r="Z26" s="36"/>
      <c r="AA26" s="36"/>
      <c r="AB26" s="36"/>
      <c r="AC26" s="36"/>
      <c r="AD26" s="36"/>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5" x14ac:dyDescent="0.3">
      <c r="C27" s="34"/>
      <c r="D27" s="84"/>
      <c r="G27" s="34"/>
      <c r="H27" s="84"/>
      <c r="K27" s="34"/>
      <c r="L27" s="34"/>
      <c r="M27" s="84"/>
      <c r="N27" s="84"/>
      <c r="O27" s="255"/>
      <c r="Q27" s="35"/>
      <c r="R27" s="99"/>
      <c r="S27" s="36"/>
      <c r="T27" s="36"/>
      <c r="U27" s="36"/>
      <c r="V27" s="36"/>
      <c r="W27" s="36"/>
      <c r="X27" s="36"/>
      <c r="Y27" s="36"/>
      <c r="Z27" s="36"/>
      <c r="AA27" s="36"/>
      <c r="AB27" s="36"/>
      <c r="AC27" s="36"/>
      <c r="AD27" s="36"/>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298" customFormat="1" ht="18" x14ac:dyDescent="0.3">
      <c r="B28" s="295" t="s">
        <v>696</v>
      </c>
      <c r="C28" s="296"/>
      <c r="D28" s="297"/>
      <c r="G28" s="296"/>
      <c r="H28" s="297"/>
      <c r="J28" s="315"/>
      <c r="K28" s="299"/>
      <c r="L28" s="299"/>
      <c r="M28" s="319"/>
      <c r="N28" s="319"/>
      <c r="O28" s="300"/>
      <c r="P28" s="316"/>
      <c r="Q28" s="304"/>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4"/>
      <c r="AO28" s="304"/>
      <c r="AP28" s="304"/>
      <c r="AQ28" s="304"/>
      <c r="AR28" s="304"/>
      <c r="AS28" s="304"/>
      <c r="AT28" s="304"/>
      <c r="AU28" s="304"/>
      <c r="AV28" s="304"/>
      <c r="AW28" s="304"/>
      <c r="AX28" s="304"/>
      <c r="AY28" s="304"/>
      <c r="AZ28" s="304"/>
      <c r="BA28" s="304"/>
      <c r="BB28" s="304"/>
      <c r="BC28" s="304"/>
      <c r="BD28" s="304"/>
      <c r="BE28" s="304"/>
    </row>
    <row r="29" spans="2:57" s="31" customFormat="1" ht="16" thickBot="1" x14ac:dyDescent="0.35">
      <c r="B29" s="9"/>
      <c r="C29" s="34"/>
      <c r="D29" s="84"/>
      <c r="G29" s="34"/>
      <c r="H29" s="84"/>
      <c r="J29" s="33"/>
      <c r="K29" s="38" t="s">
        <v>329</v>
      </c>
      <c r="L29" s="38" t="s">
        <v>201</v>
      </c>
      <c r="M29" s="86"/>
      <c r="N29" s="86"/>
      <c r="O29" s="255" t="s">
        <v>644</v>
      </c>
      <c r="P29" s="38"/>
      <c r="Q29" s="35"/>
      <c r="R29" s="61" t="s">
        <v>350</v>
      </c>
      <c r="S29" s="36"/>
      <c r="T29" s="36"/>
      <c r="U29" s="36"/>
      <c r="V29" s="36"/>
      <c r="W29" s="36"/>
      <c r="X29" s="36"/>
      <c r="Y29" s="36"/>
      <c r="Z29" s="36"/>
      <c r="AA29" s="36"/>
      <c r="AB29" s="36"/>
      <c r="AC29" s="36"/>
      <c r="AD29" s="36"/>
      <c r="AE29" s="36"/>
      <c r="AF29" s="36"/>
      <c r="AG29" s="36"/>
      <c r="AH29" s="36"/>
      <c r="AI29" s="36"/>
      <c r="AJ29" s="36"/>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16" thickBot="1" x14ac:dyDescent="0.4">
      <c r="B30" s="39" t="s">
        <v>474</v>
      </c>
      <c r="C30" s="156"/>
      <c r="D30" s="88" t="s">
        <v>174</v>
      </c>
      <c r="E30" s="32"/>
      <c r="F30" s="32"/>
      <c r="G30" s="34"/>
      <c r="H30" s="84"/>
      <c r="J30" s="33" t="s">
        <v>456</v>
      </c>
      <c r="K30" s="96">
        <f>Muut!$H$4</f>
        <v>8.4</v>
      </c>
      <c r="L30" s="40"/>
      <c r="M30" s="41" t="s">
        <v>298</v>
      </c>
      <c r="N30" s="41"/>
      <c r="O30" s="256"/>
      <c r="Q30" s="35"/>
      <c r="R30" s="132" t="str">
        <f>IF(ISNUMBER(C30),IF(ISNUMBER(L30),L30*C30,K30*C30),"")</f>
        <v/>
      </c>
      <c r="S30" s="102" t="s">
        <v>349</v>
      </c>
      <c r="T30" s="43"/>
      <c r="U30" s="43"/>
      <c r="V30" s="43"/>
      <c r="W30" s="36"/>
      <c r="X30" s="36"/>
      <c r="Y30" s="36"/>
      <c r="Z30" s="36"/>
      <c r="AA30" s="36"/>
      <c r="AB30" s="36"/>
      <c r="AC30" s="36"/>
      <c r="AD30" s="36"/>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5" x14ac:dyDescent="0.35">
      <c r="B31" s="170" t="s">
        <v>509</v>
      </c>
      <c r="C31" s="160" t="s">
        <v>242</v>
      </c>
      <c r="D31" s="88"/>
      <c r="E31" s="32"/>
      <c r="F31" s="32"/>
      <c r="G31" s="34"/>
      <c r="H31" s="84"/>
      <c r="J31" s="33" t="s">
        <v>455</v>
      </c>
      <c r="K31" s="96">
        <f>Muut!$H$5*IF(OR(C31=Pudotusvalikot!$V$3,C31=Pudotusvalikot!$V$4),Muut!$E$38,IF(C31=Pudotusvalikot!$V$5,Muut!$E$39,IF(C31=Pudotusvalikot!$V$6,Muut!$E$40,Muut!$E$41)))</f>
        <v>0.12327540000000001</v>
      </c>
      <c r="L31" s="40"/>
      <c r="M31" s="41" t="s">
        <v>298</v>
      </c>
      <c r="N31" s="41"/>
      <c r="O31" s="256"/>
      <c r="Q31" s="35"/>
      <c r="R31" s="131" t="str">
        <f>IF(ISNUMBER(C30),IF(ISNUMBER(L31),L31*C30,K31*C30),"")</f>
        <v/>
      </c>
      <c r="S31" s="102" t="s">
        <v>172</v>
      </c>
      <c r="T31" s="43"/>
      <c r="U31" s="43"/>
      <c r="V31" s="43"/>
      <c r="W31" s="36"/>
      <c r="X31" s="36"/>
      <c r="Y31" s="36"/>
      <c r="Z31" s="36"/>
      <c r="AA31" s="36"/>
      <c r="AB31" s="36"/>
      <c r="AC31" s="36"/>
      <c r="AD31" s="36"/>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5" x14ac:dyDescent="0.35">
      <c r="B32" s="39" t="s">
        <v>475</v>
      </c>
      <c r="C32" s="156"/>
      <c r="D32" s="88" t="s">
        <v>174</v>
      </c>
      <c r="E32" s="32"/>
      <c r="F32" s="32"/>
      <c r="G32" s="34"/>
      <c r="H32" s="84"/>
      <c r="J32" s="33" t="s">
        <v>454</v>
      </c>
      <c r="K32" s="96">
        <f>Muut!$H$6*IF(OR(C33=Pudotusvalikot!$V$3,C33=Pudotusvalikot!$V$4),Muut!$E$38,IF(C33=Pudotusvalikot!$V$5,Muut!$E$39,IF(C33=Pudotusvalikot!$V$6,Muut!$E$40,Muut!$E$41)))</f>
        <v>4.0956000000000006E-2</v>
      </c>
      <c r="L32" s="40"/>
      <c r="M32" s="41" t="s">
        <v>298</v>
      </c>
      <c r="N32" s="41"/>
      <c r="O32" s="256"/>
      <c r="Q32" s="35"/>
      <c r="R32" s="48" t="str">
        <f>IF(ISNUMBER(#REF!),IF(ISNUMBER(L32),L32*#REF!,K32*#REF!),"")</f>
        <v/>
      </c>
      <c r="S32" s="102" t="s">
        <v>172</v>
      </c>
      <c r="T32" s="43"/>
      <c r="U32" s="43"/>
      <c r="V32" s="43"/>
      <c r="W32" s="36"/>
      <c r="X32" s="36"/>
      <c r="Y32" s="36"/>
      <c r="Z32" s="36"/>
      <c r="AA32" s="36"/>
      <c r="AB32" s="36"/>
      <c r="AC32" s="36"/>
      <c r="AD32" s="36"/>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9" s="31" customFormat="1" ht="15.5" x14ac:dyDescent="0.3">
      <c r="B33" s="170" t="s">
        <v>509</v>
      </c>
      <c r="C33" s="160" t="s">
        <v>242</v>
      </c>
      <c r="D33" s="34"/>
      <c r="E33" s="34"/>
      <c r="F33" s="34"/>
      <c r="G33" s="34"/>
      <c r="H33" s="59"/>
      <c r="J33" s="173"/>
      <c r="K33" s="173"/>
      <c r="L33" s="173"/>
      <c r="M33" s="41"/>
      <c r="N33" s="41"/>
      <c r="O33" s="256"/>
      <c r="Q33" s="47"/>
      <c r="R33" s="102"/>
      <c r="S33" s="102"/>
      <c r="T33" s="36"/>
      <c r="U33" s="36"/>
      <c r="V33" s="181"/>
      <c r="W33" s="181"/>
      <c r="X33" s="61"/>
      <c r="Y33" s="36"/>
      <c r="Z33" s="61"/>
      <c r="AA33" s="182"/>
      <c r="AB33" s="61"/>
      <c r="AC33" s="61"/>
      <c r="AD33" s="61"/>
      <c r="AE33" s="61"/>
      <c r="AF33" s="182"/>
      <c r="AG33" s="61"/>
      <c r="AH33" s="36"/>
      <c r="AI33" s="36"/>
      <c r="AJ33" s="36"/>
      <c r="AK33" s="108"/>
      <c r="AL33" s="36"/>
      <c r="AM33" s="36"/>
      <c r="AN33" s="37"/>
      <c r="AO33" s="37"/>
      <c r="AP33" s="37"/>
      <c r="AQ33" s="37"/>
      <c r="AR33" s="37"/>
      <c r="AS33" s="37"/>
      <c r="AT33" s="37"/>
      <c r="AU33" s="37"/>
      <c r="AV33" s="37"/>
      <c r="AW33" s="37"/>
      <c r="AX33" s="37"/>
      <c r="AY33" s="37"/>
      <c r="AZ33" s="37"/>
      <c r="BA33" s="37"/>
      <c r="BB33" s="37"/>
      <c r="BC33" s="37"/>
      <c r="BD33" s="37"/>
      <c r="BE33" s="37"/>
    </row>
    <row r="34" spans="2:59" s="31" customFormat="1" ht="15.5" x14ac:dyDescent="0.35">
      <c r="B34" s="39" t="s">
        <v>393</v>
      </c>
      <c r="C34" s="156"/>
      <c r="D34" s="88" t="s">
        <v>175</v>
      </c>
      <c r="E34" s="32"/>
      <c r="F34" s="32"/>
      <c r="G34" s="34"/>
      <c r="H34" s="84"/>
      <c r="J34" s="33" t="s">
        <v>453</v>
      </c>
      <c r="K34" s="96">
        <f>Muut!$H$7*IF(OR(C35=Pudotusvalikot!$V$3,C35=Pudotusvalikot!$V$4),Muut!$E$38,IF(C35=Pudotusvalikot!$V$5,Muut!$E$39,IF(C35=Pudotusvalikot!$V$6,Muut!$E$40,Muut!$E$41)))</f>
        <v>0.51195000000000002</v>
      </c>
      <c r="L34" s="40"/>
      <c r="M34" s="41" t="s">
        <v>226</v>
      </c>
      <c r="N34" s="41"/>
      <c r="O34" s="256"/>
      <c r="Q34" s="35"/>
      <c r="R34" s="48" t="str">
        <f>IF(ISNUMBER(C34),IF(ISNUMBER(L34),L34*C34,K34*C34),"")</f>
        <v/>
      </c>
      <c r="S34" s="102" t="s">
        <v>172</v>
      </c>
      <c r="T34" s="43"/>
      <c r="U34" s="43"/>
      <c r="V34" s="43"/>
      <c r="W34" s="36"/>
      <c r="X34" s="36"/>
      <c r="Y34" s="36"/>
      <c r="Z34" s="36"/>
      <c r="AA34" s="36"/>
      <c r="AB34" s="36"/>
      <c r="AC34" s="36"/>
      <c r="AD34" s="36"/>
      <c r="AE34" s="36"/>
      <c r="AF34" s="36"/>
      <c r="AG34" s="36"/>
      <c r="AH34" s="36"/>
      <c r="AI34" s="36"/>
      <c r="AJ34" s="36"/>
      <c r="AK34" s="36"/>
      <c r="AL34" s="36"/>
      <c r="AM34" s="36"/>
      <c r="AN34" s="37"/>
      <c r="AO34" s="37"/>
      <c r="AP34" s="37"/>
      <c r="AQ34" s="37"/>
      <c r="AR34" s="37"/>
      <c r="AS34" s="37"/>
      <c r="AT34" s="37"/>
      <c r="AU34" s="37"/>
      <c r="AV34" s="37"/>
      <c r="AW34" s="37"/>
      <c r="AX34" s="37"/>
      <c r="AY34" s="37"/>
      <c r="AZ34" s="37"/>
      <c r="BA34" s="37"/>
      <c r="BB34" s="37"/>
      <c r="BC34" s="37"/>
      <c r="BD34" s="37"/>
      <c r="BE34" s="37"/>
    </row>
    <row r="35" spans="2:59" s="31" customFormat="1" ht="15.5" x14ac:dyDescent="0.3">
      <c r="B35" s="170" t="s">
        <v>509</v>
      </c>
      <c r="C35" s="160" t="s">
        <v>242</v>
      </c>
      <c r="D35" s="34"/>
      <c r="E35" s="34"/>
      <c r="F35" s="34"/>
      <c r="G35" s="34"/>
      <c r="H35" s="59"/>
      <c r="J35" s="173"/>
      <c r="K35" s="173"/>
      <c r="L35" s="173"/>
      <c r="M35" s="41"/>
      <c r="N35" s="41"/>
      <c r="O35" s="256"/>
      <c r="Q35" s="47"/>
      <c r="R35" s="102"/>
      <c r="S35" s="102"/>
      <c r="T35" s="36"/>
      <c r="U35" s="36"/>
      <c r="V35" s="181"/>
      <c r="W35" s="181"/>
      <c r="X35" s="61"/>
      <c r="Y35" s="36"/>
      <c r="Z35" s="61"/>
      <c r="AA35" s="182"/>
      <c r="AB35" s="61"/>
      <c r="AC35" s="61"/>
      <c r="AD35" s="61"/>
      <c r="AE35" s="61"/>
      <c r="AF35" s="182"/>
      <c r="AG35" s="61"/>
      <c r="AH35" s="36"/>
      <c r="AI35" s="36"/>
      <c r="AJ35" s="36"/>
      <c r="AK35" s="108"/>
      <c r="AL35" s="36"/>
      <c r="AM35" s="36"/>
      <c r="AN35" s="37"/>
      <c r="AO35" s="37"/>
      <c r="AP35" s="37"/>
      <c r="AQ35" s="37"/>
      <c r="AR35" s="37"/>
      <c r="AS35" s="37"/>
      <c r="AT35" s="37"/>
      <c r="AU35" s="37"/>
      <c r="AV35" s="37"/>
      <c r="AW35" s="37"/>
      <c r="AX35" s="37"/>
      <c r="AY35" s="37"/>
      <c r="AZ35" s="37"/>
      <c r="BA35" s="37"/>
      <c r="BB35" s="37"/>
      <c r="BC35" s="37"/>
      <c r="BD35" s="37"/>
      <c r="BE35" s="37"/>
    </row>
    <row r="36" spans="2:59" s="31" customFormat="1" ht="15.5" x14ac:dyDescent="0.3">
      <c r="B36" s="9"/>
      <c r="C36" s="34"/>
      <c r="D36" s="84"/>
      <c r="G36" s="34"/>
      <c r="H36" s="84"/>
      <c r="K36" s="34"/>
      <c r="L36" s="34"/>
      <c r="M36" s="84"/>
      <c r="N36" s="84"/>
      <c r="O36" s="255"/>
      <c r="Q36" s="35"/>
      <c r="R36" s="36"/>
      <c r="S36" s="36"/>
      <c r="T36" s="36"/>
      <c r="U36" s="36"/>
      <c r="V36" s="36"/>
      <c r="W36" s="36"/>
      <c r="X36" s="36"/>
      <c r="Y36" s="36"/>
      <c r="Z36" s="36"/>
      <c r="AA36" s="36"/>
      <c r="AB36" s="36"/>
      <c r="AC36" s="36"/>
      <c r="AD36" s="36"/>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row>
    <row r="37" spans="2:59" s="307" customFormat="1" ht="18" x14ac:dyDescent="0.3">
      <c r="B37" s="295" t="s">
        <v>476</v>
      </c>
      <c r="D37" s="306"/>
      <c r="H37" s="306"/>
      <c r="J37" s="308"/>
      <c r="M37" s="306"/>
      <c r="N37" s="306"/>
      <c r="O37" s="309"/>
      <c r="P37" s="313"/>
      <c r="R37" s="312"/>
      <c r="S37" s="312"/>
      <c r="T37" s="312"/>
      <c r="U37" s="311"/>
      <c r="V37" s="311"/>
      <c r="W37" s="311"/>
      <c r="X37" s="311"/>
      <c r="Y37" s="311"/>
      <c r="Z37" s="311"/>
      <c r="AA37" s="311"/>
      <c r="AB37" s="311"/>
      <c r="AC37" s="311"/>
      <c r="AD37" s="311"/>
      <c r="AE37" s="311"/>
      <c r="AF37" s="311"/>
      <c r="AG37" s="311"/>
      <c r="AH37" s="311"/>
      <c r="AI37" s="311"/>
      <c r="AJ37" s="311"/>
      <c r="AK37" s="311"/>
      <c r="AL37" s="311"/>
      <c r="AM37" s="311"/>
      <c r="AN37" s="311"/>
      <c r="AO37" s="311"/>
      <c r="AP37" s="312"/>
      <c r="AQ37" s="312"/>
      <c r="AR37" s="312"/>
      <c r="AS37" s="312"/>
      <c r="AT37" s="312"/>
      <c r="AU37" s="312"/>
      <c r="AV37" s="312"/>
      <c r="AW37" s="312"/>
      <c r="AX37" s="312"/>
      <c r="AY37" s="312"/>
      <c r="AZ37" s="312"/>
      <c r="BA37" s="312"/>
      <c r="BB37" s="312"/>
      <c r="BC37" s="312"/>
      <c r="BD37" s="312"/>
      <c r="BE37" s="312"/>
      <c r="BF37" s="312"/>
      <c r="BG37" s="312"/>
    </row>
    <row r="38" spans="2:59" s="31" customFormat="1" ht="15.5" x14ac:dyDescent="0.3">
      <c r="B38" s="9"/>
      <c r="D38" s="84"/>
      <c r="H38" s="84"/>
      <c r="J38" s="33"/>
      <c r="K38" s="38" t="s">
        <v>329</v>
      </c>
      <c r="L38" s="38" t="s">
        <v>201</v>
      </c>
      <c r="M38" s="84"/>
      <c r="N38" s="84"/>
      <c r="O38" s="255" t="s">
        <v>644</v>
      </c>
      <c r="P38" s="148"/>
      <c r="Q38" s="37"/>
      <c r="R38" s="36" t="s">
        <v>350</v>
      </c>
      <c r="S38" s="36"/>
      <c r="T38" s="36" t="s">
        <v>469</v>
      </c>
      <c r="U38" s="36" t="s">
        <v>351</v>
      </c>
      <c r="V38" s="36" t="s">
        <v>352</v>
      </c>
      <c r="W38" s="36"/>
      <c r="X38" s="36"/>
      <c r="Y38" s="36"/>
      <c r="Z38" s="36"/>
      <c r="AA38" s="36"/>
      <c r="AB38" s="36"/>
      <c r="AC38" s="36"/>
      <c r="AD38" s="36"/>
      <c r="AE38" s="36"/>
      <c r="AF38" s="36"/>
      <c r="AG38" s="36"/>
      <c r="AH38" s="36"/>
      <c r="AI38" s="36"/>
      <c r="AJ38" s="36"/>
      <c r="AK38" s="36"/>
      <c r="AL38" s="36"/>
      <c r="AM38" s="36"/>
      <c r="AN38" s="36"/>
      <c r="AO38" s="36"/>
      <c r="AP38" s="37"/>
      <c r="AQ38" s="37"/>
      <c r="AR38" s="37"/>
      <c r="AS38" s="37"/>
      <c r="AT38" s="37"/>
      <c r="AU38" s="37"/>
      <c r="AV38" s="37"/>
      <c r="AW38" s="37"/>
      <c r="AX38" s="37"/>
      <c r="AY38" s="37"/>
      <c r="AZ38" s="37"/>
      <c r="BA38" s="37"/>
      <c r="BB38" s="37"/>
      <c r="BC38" s="37"/>
      <c r="BD38" s="37"/>
      <c r="BE38" s="37"/>
      <c r="BF38" s="37"/>
      <c r="BG38" s="37"/>
    </row>
    <row r="39" spans="2:59" s="31" customFormat="1" ht="15.5" x14ac:dyDescent="0.35">
      <c r="B39" s="54" t="s">
        <v>683</v>
      </c>
      <c r="C39" s="66" t="str">
        <f>G4</f>
        <v/>
      </c>
      <c r="D39" s="88" t="s">
        <v>175</v>
      </c>
      <c r="H39" s="84"/>
      <c r="J39" s="33" t="s">
        <v>470</v>
      </c>
      <c r="K39" s="110">
        <f>IF(ISNUMBER(L39),L39,IF(OR(C40=Pudotusvalikot!$D$67,C40=Pudotusvalikot!$D$68),Kalusto!$E$9,VLOOKUP(C40,Kalusto!$C$5:$E$42,3,FALSE))*IF(OR(C41=Pudotusvalikot!$V$3,C41=Pudotusvalikot!$V$4),Muut!$E$38,IF(C41=Pudotusvalikot!$V$5,Muut!$E$39,IF(C41=Pudotusvalikot!$V$6,Muut!$E$40,Muut!$E$41))))</f>
        <v>34.130000000000003</v>
      </c>
      <c r="L39" s="40"/>
      <c r="M39" s="41" t="s">
        <v>205</v>
      </c>
      <c r="N39" s="41"/>
      <c r="O39" s="256"/>
      <c r="P39" s="151"/>
      <c r="Q39" s="37"/>
      <c r="R39" s="50" t="str">
        <f>IF(ISNUMBER(K39*V39),K39*V39,"")</f>
        <v/>
      </c>
      <c r="S39" s="102" t="s">
        <v>172</v>
      </c>
      <c r="T39" s="50" t="str">
        <f>IF(ISNUMBER(C39),C39,"")</f>
        <v/>
      </c>
      <c r="U39" s="64">
        <f>IF(D42="h","",IF(ISNUMBER(C42),C42,""))</f>
        <v>1.2E-2</v>
      </c>
      <c r="V39" s="50" t="str">
        <f>IF(ISNUMBER(T39),IF(D42="h",C42,IF(ISNUMBER(T39*U39),IF(D42="m3/h",T39/U39,T39*U39),"")),"")</f>
        <v/>
      </c>
      <c r="W39" s="36"/>
      <c r="X39" s="61"/>
      <c r="Y39" s="61"/>
      <c r="Z39" s="61"/>
      <c r="AA39" s="36"/>
      <c r="AB39" s="36"/>
      <c r="AC39" s="62"/>
      <c r="AD39" s="36"/>
      <c r="AE39" s="36"/>
      <c r="AF39" s="36"/>
      <c r="AG39" s="36"/>
      <c r="AH39" s="36"/>
      <c r="AI39" s="36"/>
      <c r="AJ39" s="36"/>
      <c r="AK39" s="36"/>
      <c r="AL39" s="36"/>
      <c r="AM39" s="36"/>
      <c r="AN39" s="36"/>
      <c r="AO39" s="36"/>
      <c r="AP39" s="37"/>
      <c r="AQ39" s="37"/>
      <c r="AR39" s="37"/>
      <c r="AS39" s="37"/>
      <c r="AT39" s="37"/>
      <c r="AU39" s="37"/>
      <c r="AV39" s="37"/>
      <c r="AW39" s="37"/>
      <c r="AX39" s="37"/>
      <c r="AY39" s="37"/>
      <c r="AZ39" s="37"/>
      <c r="BA39" s="37"/>
      <c r="BB39" s="37"/>
      <c r="BC39" s="37"/>
      <c r="BD39" s="37"/>
      <c r="BE39" s="37"/>
      <c r="BF39" s="37"/>
      <c r="BG39" s="37"/>
    </row>
    <row r="40" spans="2:59" s="31" customFormat="1" ht="15.5" x14ac:dyDescent="0.3">
      <c r="B40" s="54" t="s">
        <v>510</v>
      </c>
      <c r="C40" s="392" t="s">
        <v>128</v>
      </c>
      <c r="D40" s="393"/>
      <c r="E40" s="393"/>
      <c r="F40" s="393"/>
      <c r="G40" s="394"/>
      <c r="J40" s="33"/>
      <c r="K40" s="34"/>
      <c r="L40" s="34"/>
      <c r="M40" s="84"/>
      <c r="N40" s="84"/>
      <c r="O40" s="256"/>
      <c r="P40" s="147"/>
      <c r="Q40" s="105"/>
      <c r="R40" s="99"/>
      <c r="S40" s="36"/>
      <c r="T40" s="36"/>
      <c r="U40" s="36"/>
      <c r="V40" s="36"/>
      <c r="W40" s="36"/>
      <c r="X40" s="36"/>
      <c r="Y40" s="36"/>
      <c r="Z40" s="36"/>
      <c r="AA40" s="36"/>
      <c r="AB40" s="36"/>
      <c r="AC40" s="36"/>
      <c r="AD40" s="36"/>
      <c r="AE40" s="36"/>
      <c r="AF40" s="36"/>
      <c r="AG40" s="36"/>
      <c r="AH40" s="36"/>
      <c r="AI40" s="36"/>
      <c r="AJ40" s="36"/>
      <c r="AK40" s="36"/>
      <c r="AL40" s="36"/>
      <c r="AM40" s="36"/>
      <c r="AN40" s="36"/>
      <c r="AO40" s="36"/>
      <c r="AP40" s="37"/>
      <c r="AQ40" s="37"/>
      <c r="AR40" s="37"/>
      <c r="AS40" s="37"/>
      <c r="AT40" s="37"/>
      <c r="AU40" s="37"/>
      <c r="AV40" s="37"/>
      <c r="AW40" s="37"/>
      <c r="AX40" s="37"/>
      <c r="AY40" s="37"/>
      <c r="AZ40" s="37"/>
      <c r="BA40" s="37"/>
      <c r="BB40" s="37"/>
      <c r="BC40" s="37"/>
      <c r="BD40" s="37"/>
      <c r="BE40" s="37"/>
      <c r="BF40" s="37"/>
      <c r="BG40" s="37"/>
    </row>
    <row r="41" spans="2:59" s="31" customFormat="1" ht="15.5" x14ac:dyDescent="0.3">
      <c r="B41" s="170" t="s">
        <v>509</v>
      </c>
      <c r="C41" s="160" t="s">
        <v>242</v>
      </c>
      <c r="D41" s="34"/>
      <c r="E41" s="34"/>
      <c r="F41" s="34"/>
      <c r="G41" s="34"/>
      <c r="H41" s="59"/>
      <c r="J41" s="173"/>
      <c r="K41" s="173"/>
      <c r="L41" s="173"/>
      <c r="M41" s="41"/>
      <c r="N41" s="41"/>
      <c r="O41" s="256"/>
      <c r="Q41" s="47"/>
      <c r="R41" s="102"/>
      <c r="S41" s="102"/>
      <c r="T41" s="36"/>
      <c r="U41" s="36"/>
      <c r="V41" s="181"/>
      <c r="W41" s="181"/>
      <c r="X41" s="61"/>
      <c r="Y41" s="36"/>
      <c r="Z41" s="61"/>
      <c r="AA41" s="182"/>
      <c r="AB41" s="61"/>
      <c r="AC41" s="61"/>
      <c r="AD41" s="61"/>
      <c r="AE41" s="61"/>
      <c r="AF41" s="182"/>
      <c r="AG41" s="61"/>
      <c r="AH41" s="36"/>
      <c r="AI41" s="36"/>
      <c r="AJ41" s="36"/>
      <c r="AK41" s="108"/>
      <c r="AL41" s="36"/>
      <c r="AM41" s="36"/>
      <c r="AN41" s="37"/>
      <c r="AO41" s="37"/>
      <c r="AP41" s="37"/>
      <c r="AQ41" s="37"/>
      <c r="AR41" s="37"/>
      <c r="AS41" s="37"/>
      <c r="AT41" s="37"/>
      <c r="AU41" s="37"/>
      <c r="AV41" s="37"/>
      <c r="AW41" s="37"/>
      <c r="AX41" s="37"/>
      <c r="AY41" s="37"/>
      <c r="AZ41" s="37"/>
      <c r="BA41" s="37"/>
      <c r="BB41" s="37"/>
      <c r="BC41" s="37"/>
      <c r="BD41" s="37"/>
      <c r="BE41" s="37"/>
    </row>
    <row r="42" spans="2:59" s="31" customFormat="1" ht="31" x14ac:dyDescent="0.3">
      <c r="B42" s="78" t="s">
        <v>511</v>
      </c>
      <c r="C42" s="206">
        <v>1.2E-2</v>
      </c>
      <c r="D42" s="89" t="s">
        <v>156</v>
      </c>
      <c r="H42" s="84"/>
      <c r="J42" s="171" t="s">
        <v>583</v>
      </c>
      <c r="M42" s="84"/>
      <c r="N42" s="84"/>
      <c r="O42" s="256"/>
      <c r="P42" s="149"/>
      <c r="Q42" s="105"/>
      <c r="R42" s="99"/>
      <c r="S42" s="36"/>
      <c r="T42" s="36"/>
      <c r="U42" s="36"/>
      <c r="V42" s="36"/>
      <c r="W42" s="36"/>
      <c r="X42" s="36"/>
      <c r="Y42" s="36"/>
      <c r="Z42" s="36"/>
      <c r="AA42" s="36"/>
      <c r="AB42" s="36"/>
      <c r="AC42" s="36"/>
      <c r="AD42" s="36"/>
      <c r="AE42" s="36"/>
      <c r="AF42" s="36"/>
      <c r="AG42" s="36"/>
      <c r="AH42" s="36"/>
      <c r="AI42" s="36"/>
      <c r="AJ42" s="36"/>
      <c r="AK42" s="36"/>
      <c r="AL42" s="36"/>
      <c r="AM42" s="36"/>
      <c r="AN42" s="36"/>
      <c r="AO42" s="36"/>
      <c r="AP42" s="37"/>
      <c r="AQ42" s="37"/>
      <c r="AR42" s="37"/>
      <c r="AS42" s="37"/>
      <c r="AT42" s="37"/>
      <c r="AU42" s="37"/>
      <c r="AV42" s="37"/>
      <c r="AW42" s="37"/>
      <c r="AX42" s="37"/>
      <c r="AY42" s="37"/>
      <c r="AZ42" s="37"/>
      <c r="BA42" s="37"/>
      <c r="BB42" s="37"/>
      <c r="BC42" s="37"/>
      <c r="BD42" s="37"/>
      <c r="BE42" s="37"/>
      <c r="BF42" s="37"/>
      <c r="BG42" s="37"/>
    </row>
    <row r="43" spans="2:59" s="31" customFormat="1" ht="15.5" x14ac:dyDescent="0.3">
      <c r="C43" s="65"/>
      <c r="D43" s="84"/>
      <c r="H43" s="84"/>
      <c r="J43" s="33"/>
      <c r="M43" s="84"/>
      <c r="N43" s="84"/>
      <c r="O43" s="255"/>
      <c r="P43" s="69"/>
      <c r="Q43" s="37"/>
      <c r="R43" s="99"/>
      <c r="S43" s="36"/>
      <c r="T43" s="36"/>
      <c r="U43" s="36"/>
      <c r="V43" s="36"/>
      <c r="W43" s="36"/>
      <c r="X43" s="36"/>
      <c r="Y43" s="36"/>
      <c r="Z43" s="36"/>
      <c r="AA43" s="36"/>
      <c r="AB43" s="36"/>
      <c r="AC43" s="36"/>
      <c r="AD43" s="36"/>
      <c r="AE43" s="36"/>
      <c r="AF43" s="36"/>
      <c r="AG43" s="36"/>
      <c r="AH43" s="36"/>
      <c r="AI43" s="36"/>
      <c r="AJ43" s="36"/>
      <c r="AK43" s="36"/>
      <c r="AL43" s="36"/>
      <c r="AM43" s="36"/>
      <c r="AN43" s="36"/>
      <c r="AO43" s="36"/>
      <c r="AP43" s="37"/>
      <c r="AQ43" s="37"/>
      <c r="AR43" s="37"/>
      <c r="AS43" s="37"/>
      <c r="AT43" s="37"/>
      <c r="AU43" s="37"/>
      <c r="AV43" s="37"/>
      <c r="AW43" s="37"/>
      <c r="AX43" s="37"/>
      <c r="AY43" s="37"/>
      <c r="AZ43" s="37"/>
      <c r="BA43" s="37"/>
      <c r="BB43" s="37"/>
      <c r="BC43" s="37"/>
      <c r="BD43" s="37"/>
      <c r="BE43" s="37"/>
      <c r="BF43" s="37"/>
      <c r="BG43" s="37"/>
    </row>
    <row r="44" spans="2:59" s="298" customFormat="1" ht="18" x14ac:dyDescent="0.3">
      <c r="B44" s="295" t="s">
        <v>695</v>
      </c>
      <c r="C44" s="296"/>
      <c r="D44" s="297"/>
      <c r="E44" s="296"/>
      <c r="F44" s="296"/>
      <c r="G44" s="299"/>
      <c r="H44" s="297"/>
      <c r="J44" s="315"/>
      <c r="K44" s="299"/>
      <c r="L44" s="299"/>
      <c r="M44" s="319"/>
      <c r="N44" s="319"/>
      <c r="O44" s="300"/>
      <c r="P44" s="316"/>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4"/>
      <c r="AQ44" s="304"/>
      <c r="AR44" s="304"/>
      <c r="AS44" s="304"/>
      <c r="AT44" s="304"/>
      <c r="AU44" s="304"/>
      <c r="AV44" s="304"/>
      <c r="AW44" s="304"/>
      <c r="AX44" s="304"/>
      <c r="AY44" s="304"/>
      <c r="AZ44" s="304"/>
      <c r="BA44" s="304"/>
      <c r="BB44" s="304"/>
      <c r="BC44" s="304"/>
      <c r="BD44" s="304"/>
      <c r="BE44" s="304"/>
      <c r="BF44" s="304"/>
      <c r="BG44" s="304"/>
    </row>
    <row r="45" spans="2:59" s="31" customFormat="1" ht="15.5" x14ac:dyDescent="0.3">
      <c r="B45" s="9"/>
      <c r="C45" s="34"/>
      <c r="D45" s="84"/>
      <c r="E45" s="34"/>
      <c r="F45" s="34"/>
      <c r="G45" s="38"/>
      <c r="H45" s="84"/>
      <c r="J45" s="33"/>
      <c r="K45" s="38"/>
      <c r="L45" s="38"/>
      <c r="M45" s="86"/>
      <c r="N45" s="86"/>
      <c r="O45" s="255" t="s">
        <v>644</v>
      </c>
      <c r="P45" s="38"/>
      <c r="Q45" s="35"/>
      <c r="R45" s="99"/>
      <c r="S45" s="36"/>
      <c r="T45" s="36"/>
      <c r="U45" s="36"/>
      <c r="V45" s="36"/>
      <c r="W45" s="36"/>
      <c r="X45" s="36"/>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row>
    <row r="46" spans="2:59" s="31" customFormat="1" ht="15.5" x14ac:dyDescent="0.3">
      <c r="B46" s="155" t="s">
        <v>457</v>
      </c>
      <c r="C46" s="34" t="s">
        <v>50</v>
      </c>
      <c r="D46" s="84"/>
      <c r="E46" s="34"/>
      <c r="F46" s="34"/>
      <c r="G46" s="38" t="s">
        <v>199</v>
      </c>
      <c r="H46" s="84"/>
      <c r="J46" s="33"/>
      <c r="K46" s="38" t="s">
        <v>329</v>
      </c>
      <c r="L46" s="38" t="s">
        <v>201</v>
      </c>
      <c r="M46" s="86"/>
      <c r="N46" s="86"/>
      <c r="O46" s="256"/>
      <c r="P46" s="38"/>
      <c r="Q46" s="35"/>
      <c r="R46" s="61" t="s">
        <v>350</v>
      </c>
      <c r="S46" s="36"/>
      <c r="T46" s="36" t="s">
        <v>446</v>
      </c>
      <c r="U46" s="36" t="s">
        <v>445</v>
      </c>
      <c r="V46" s="36" t="s">
        <v>443</v>
      </c>
      <c r="W46" s="36" t="s">
        <v>444</v>
      </c>
      <c r="X46" s="36" t="s">
        <v>447</v>
      </c>
      <c r="Y46" s="36" t="s">
        <v>449</v>
      </c>
      <c r="Z46" s="36" t="s">
        <v>448</v>
      </c>
      <c r="AA46" s="36" t="s">
        <v>202</v>
      </c>
      <c r="AB46" s="36" t="s">
        <v>380</v>
      </c>
      <c r="AC46" s="36" t="s">
        <v>450</v>
      </c>
      <c r="AD46" s="36" t="s">
        <v>381</v>
      </c>
      <c r="AE46" s="36" t="s">
        <v>451</v>
      </c>
      <c r="AF46" s="36" t="s">
        <v>452</v>
      </c>
      <c r="AG46" s="36" t="s">
        <v>638</v>
      </c>
      <c r="AH46" s="36" t="s">
        <v>206</v>
      </c>
      <c r="AI46" s="36" t="s">
        <v>278</v>
      </c>
      <c r="AJ46" s="36" t="s">
        <v>207</v>
      </c>
      <c r="AK46" s="108"/>
      <c r="AL46" s="36"/>
      <c r="AM46" s="36"/>
      <c r="AN46" s="37"/>
      <c r="AO46" s="37"/>
      <c r="AP46" s="37"/>
      <c r="AQ46" s="37"/>
      <c r="AR46" s="37"/>
      <c r="AS46" s="37"/>
      <c r="AT46" s="37"/>
      <c r="AU46" s="37"/>
      <c r="AV46" s="37"/>
      <c r="AW46" s="37"/>
      <c r="AX46" s="37"/>
      <c r="AY46" s="37"/>
      <c r="AZ46" s="37"/>
      <c r="BA46" s="37"/>
      <c r="BB46" s="37"/>
      <c r="BC46" s="37"/>
      <c r="BD46" s="37"/>
      <c r="BE46" s="37"/>
    </row>
    <row r="47" spans="2:59" s="31" customFormat="1" ht="46.5" x14ac:dyDescent="0.3">
      <c r="B47" s="170" t="s">
        <v>513</v>
      </c>
      <c r="C47" s="160"/>
      <c r="D47" s="89" t="s">
        <v>175</v>
      </c>
      <c r="E47" s="176"/>
      <c r="F47" s="57"/>
      <c r="G47" s="161">
        <v>2</v>
      </c>
      <c r="H47" s="84" t="str">
        <f>IF(D47="t","t/t","t/m3")</f>
        <v>t/m3</v>
      </c>
      <c r="I47" s="170"/>
      <c r="J47" s="173" t="s">
        <v>441</v>
      </c>
      <c r="K47" s="96">
        <f>IF(ISNUMBER(L47),L47,IF(OR(C48=Pudotusvalikot!$D$14,C48=Pudotusvalikot!$D$15),Kalusto!$G$96,VLOOKUP(C48,Kalusto!$C$44:$G$83,5,FALSE))*IF(OR(C49=Pudotusvalikot!$V$3,C49=Pudotusvalikot!$V$4),Muut!$E$38,IF(C49=Pudotusvalikot!$V$5,Muut!$E$39,IF(C49=Pudotusvalikot!$V$6,Muut!$E$40,Muut!$E$41))))</f>
        <v>6.1090000000000005E-2</v>
      </c>
      <c r="L47" s="40"/>
      <c r="M47" s="41" t="s">
        <v>200</v>
      </c>
      <c r="N47" s="41"/>
      <c r="O47" s="256"/>
      <c r="Q47" s="47"/>
      <c r="R47" s="50" t="str">
        <f ca="1">IF(AND(NOT(ISNUMBER(AB47)),NOT(ISNUMBER(AG47))),"",IF(ISNUMBER(AB47),AB47,0)+IF(ISNUMBER(AG47),AG47,0))</f>
        <v/>
      </c>
      <c r="S47" s="102" t="s">
        <v>172</v>
      </c>
      <c r="T47" s="48" t="str">
        <f>IF(ISNUMBER(L47),"Kohdetieto",IF(OR(C48=Pudotusvalikot!$D$14,C48=Pudotusvalikot!$D$15),Kalusto!$I$96,VLOOKUP(C48,Kalusto!$C$44:$L$83,7,FALSE)))</f>
        <v>Maansiirtoauto</v>
      </c>
      <c r="U47" s="48">
        <f>IF(ISNUMBER(L47),"Kohdetieto",IF(OR(C48=Pudotusvalikot!$D$14,C48=Pudotusvalikot!$D$15),Kalusto!$J$96,VLOOKUP(C48,Kalusto!$C$44:$L$83,8,FALSE)))</f>
        <v>32</v>
      </c>
      <c r="V47" s="49">
        <f>IF(ISNUMBER(L47),"Kohdetieto",IF(OR(C48=Pudotusvalikot!$D$14,C48=Pudotusvalikot!$D$15),Kalusto!$K$96,VLOOKUP(C48,Kalusto!$C$44:$L$83,9,FALSE)))</f>
        <v>0.8</v>
      </c>
      <c r="W47" s="49" t="str">
        <f>IF(ISNUMBER(L47),"Kohdetieto",IF(OR(C48=Pudotusvalikot!$D$14,C48=Pudotusvalikot!$D$15),Kalusto!$L$96,VLOOKUP(C48,Kalusto!$C$44:$L$83,10,FALSE)))</f>
        <v>maantieajo</v>
      </c>
      <c r="X47" s="50" t="str">
        <f>IF(ISBLANK(C47),"",IF(D47="t",C47,C47*G47))</f>
        <v/>
      </c>
      <c r="Y47" s="48" t="str">
        <f>IF(ISNUMBER(C50),C50,"")</f>
        <v/>
      </c>
      <c r="Z47" s="50" t="str">
        <f>IF(ISNUMBER(X47/(U47*V47)*Y47),X47/(U47*V47)*Y47,"")</f>
        <v/>
      </c>
      <c r="AA47" s="51">
        <f>IF(ISNUMBER(L47),L47,K47)</f>
        <v>6.1090000000000005E-2</v>
      </c>
      <c r="AB47" s="50" t="str">
        <f>IF(ISNUMBER(Y47*X47*K47),Y47*X47*K47,"")</f>
        <v/>
      </c>
      <c r="AC47" s="50" t="str">
        <f>IF(C72="Kyllä",Y47,"")</f>
        <v/>
      </c>
      <c r="AD47" s="50" t="str">
        <f>IF(C72="Kyllä",IF(ISNUMBER(X47/(U47*V47)),X47/(U47*V47),""),"")</f>
        <v/>
      </c>
      <c r="AE47" s="50" t="str">
        <f>IF(ISNUMBER(AD47*AC47),AD47*AC47,"")</f>
        <v/>
      </c>
      <c r="AF47" s="51">
        <f ca="1">IF(ISNUMBER(L48),L48,K48)</f>
        <v>0.71940999999999999</v>
      </c>
      <c r="AG47" s="50" t="str">
        <f ca="1">IF(ISNUMBER(AC47*AD47*K48),AC47*AD47*K48,"")</f>
        <v/>
      </c>
      <c r="AH47" s="48">
        <f>IF(T47="Jakelukuorma-auto",0,IF(T47="Maansiirtoauto",4,IF(T47="Puoliperävaunu",6,8)))</f>
        <v>4</v>
      </c>
      <c r="AI47" s="48">
        <f>IF(AND(T47="Jakelukuorma-auto",U47=6),0,IF(AND(T47="Jakelukuorma-auto",U47=15),2,0))</f>
        <v>0</v>
      </c>
      <c r="AJ47" s="48">
        <f>IF(W47="maantieajo",0,1)</f>
        <v>0</v>
      </c>
      <c r="AK47" s="108"/>
      <c r="AL47" s="36"/>
      <c r="AM47" s="36"/>
      <c r="AN47" s="37"/>
      <c r="AO47" s="37"/>
      <c r="AP47" s="37"/>
      <c r="AQ47" s="37"/>
      <c r="AR47" s="37"/>
      <c r="AS47" s="37"/>
      <c r="AT47" s="37"/>
      <c r="AU47" s="37"/>
      <c r="AV47" s="37"/>
      <c r="AW47" s="37"/>
      <c r="AX47" s="37"/>
      <c r="AY47" s="37"/>
      <c r="AZ47" s="37"/>
      <c r="BA47" s="37"/>
      <c r="BB47" s="37"/>
      <c r="BC47" s="37"/>
      <c r="BD47" s="37"/>
      <c r="BE47" s="37"/>
    </row>
    <row r="48" spans="2:59" s="31" customFormat="1" ht="46.5" x14ac:dyDescent="0.3">
      <c r="B48" s="170" t="s">
        <v>512</v>
      </c>
      <c r="C48" s="392" t="s">
        <v>84</v>
      </c>
      <c r="D48" s="393"/>
      <c r="E48" s="393"/>
      <c r="F48" s="393"/>
      <c r="G48" s="394"/>
      <c r="H48" s="54"/>
      <c r="J48" s="33" t="s">
        <v>442</v>
      </c>
      <c r="K48" s="96">
        <f ca="1">IF(ISNUMBER(L48),L48,IF($C$100="Ei","",IF(AND($C$100="Kyllä",OR(C48=Pudotusvalikot!$D$14,C48=Pudotusvalikot!$D$15)),Kalusto!$G$97,OFFSET(Kalusto!$G$85,AH47+AJ47+AI47,0,1,1)))*IF(OR(C49=Pudotusvalikot!$V$3,C49=Pudotusvalikot!$V$4),Muut!$E$38,IF(C49=Pudotusvalikot!$V$5,Muut!$E$39,IF(C49=Pudotusvalikot!$V$6,Muut!$E$40,Muut!$E$41))))</f>
        <v>0.71940999999999999</v>
      </c>
      <c r="L48" s="40"/>
      <c r="M48" s="41" t="s">
        <v>204</v>
      </c>
      <c r="N48" s="41"/>
      <c r="O48" s="256"/>
      <c r="P48" s="34"/>
      <c r="Q48" s="52"/>
      <c r="R48" s="36"/>
      <c r="S48" s="36"/>
      <c r="T48" s="36"/>
      <c r="U48" s="36"/>
      <c r="V48" s="36"/>
      <c r="W48" s="36"/>
      <c r="X48" s="36"/>
      <c r="Y48" s="36"/>
      <c r="Z48" s="36"/>
      <c r="AA48" s="36"/>
      <c r="AB48" s="36"/>
      <c r="AC48" s="36"/>
      <c r="AD48" s="36"/>
      <c r="AE48" s="36"/>
      <c r="AF48" s="36"/>
      <c r="AG48" s="36"/>
      <c r="AH48" s="36"/>
      <c r="AI48" s="36"/>
      <c r="AJ48" s="36"/>
      <c r="AK48" s="108"/>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5" x14ac:dyDescent="0.3">
      <c r="B49" s="186" t="s">
        <v>506</v>
      </c>
      <c r="C49" s="160" t="s">
        <v>242</v>
      </c>
      <c r="D49" s="34"/>
      <c r="E49" s="34"/>
      <c r="F49" s="34"/>
      <c r="G49" s="34"/>
      <c r="H49" s="59"/>
      <c r="J49" s="173"/>
      <c r="K49" s="173"/>
      <c r="L49" s="173"/>
      <c r="M49" s="41"/>
      <c r="N49" s="41"/>
      <c r="O49" s="256"/>
      <c r="Q49" s="47"/>
      <c r="R49" s="102"/>
      <c r="S49" s="102"/>
      <c r="T49" s="36"/>
      <c r="U49" s="36"/>
      <c r="V49" s="181"/>
      <c r="W49" s="181"/>
      <c r="X49" s="61"/>
      <c r="Y49" s="36"/>
      <c r="Z49" s="61"/>
      <c r="AA49" s="182"/>
      <c r="AB49" s="61"/>
      <c r="AC49" s="61"/>
      <c r="AD49" s="61"/>
      <c r="AE49" s="61"/>
      <c r="AF49" s="182"/>
      <c r="AG49" s="61"/>
      <c r="AH49" s="36"/>
      <c r="AI49" s="36"/>
      <c r="AJ49" s="36"/>
      <c r="AK49" s="108"/>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5" x14ac:dyDescent="0.3">
      <c r="B50" s="45" t="s">
        <v>514</v>
      </c>
      <c r="C50" s="160"/>
      <c r="D50" s="84" t="s">
        <v>5</v>
      </c>
      <c r="G50" s="34"/>
      <c r="H50" s="54"/>
      <c r="J50" s="53"/>
      <c r="K50" s="34"/>
      <c r="L50" s="34"/>
      <c r="M50" s="84"/>
      <c r="N50" s="84"/>
      <c r="O50" s="256"/>
      <c r="P50" s="53"/>
      <c r="Q50" s="52"/>
      <c r="R50" s="36"/>
      <c r="S50" s="36"/>
      <c r="T50" s="36"/>
      <c r="U50" s="36"/>
      <c r="V50" s="36"/>
      <c r="W50" s="36"/>
      <c r="X50" s="36"/>
      <c r="Y50" s="36"/>
      <c r="Z50" s="36"/>
      <c r="AA50" s="36"/>
      <c r="AB50" s="36"/>
      <c r="AC50" s="36"/>
      <c r="AD50" s="36"/>
      <c r="AE50" s="36"/>
      <c r="AF50" s="36"/>
      <c r="AG50" s="36"/>
      <c r="AH50" s="36"/>
      <c r="AI50" s="36"/>
      <c r="AJ50" s="36"/>
      <c r="AK50" s="108"/>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5" x14ac:dyDescent="0.3">
      <c r="B51" s="155" t="s">
        <v>458</v>
      </c>
      <c r="C51" s="34"/>
      <c r="D51" s="84"/>
      <c r="G51" s="34"/>
      <c r="H51" s="84"/>
      <c r="J51" s="33"/>
      <c r="K51" s="38" t="s">
        <v>329</v>
      </c>
      <c r="L51" s="38" t="s">
        <v>201</v>
      </c>
      <c r="M51" s="84"/>
      <c r="N51" s="84"/>
      <c r="O51" s="256"/>
      <c r="P51" s="34"/>
      <c r="Q51" s="35"/>
      <c r="R51" s="61" t="s">
        <v>350</v>
      </c>
      <c r="S51" s="36"/>
      <c r="T51" s="36" t="s">
        <v>446</v>
      </c>
      <c r="U51" s="36" t="s">
        <v>445</v>
      </c>
      <c r="V51" s="36" t="s">
        <v>443</v>
      </c>
      <c r="W51" s="36" t="s">
        <v>444</v>
      </c>
      <c r="X51" s="36" t="s">
        <v>447</v>
      </c>
      <c r="Y51" s="36" t="s">
        <v>449</v>
      </c>
      <c r="Z51" s="36" t="s">
        <v>448</v>
      </c>
      <c r="AA51" s="36" t="s">
        <v>202</v>
      </c>
      <c r="AB51" s="36" t="s">
        <v>380</v>
      </c>
      <c r="AC51" s="36" t="s">
        <v>450</v>
      </c>
      <c r="AD51" s="36" t="s">
        <v>381</v>
      </c>
      <c r="AE51" s="36" t="s">
        <v>451</v>
      </c>
      <c r="AF51" s="36" t="s">
        <v>452</v>
      </c>
      <c r="AG51" s="36" t="s">
        <v>638</v>
      </c>
      <c r="AH51" s="36" t="s">
        <v>206</v>
      </c>
      <c r="AI51" s="36" t="s">
        <v>278</v>
      </c>
      <c r="AJ51" s="36" t="s">
        <v>207</v>
      </c>
      <c r="AK51" s="108"/>
      <c r="AL51" s="36"/>
      <c r="AM51" s="36"/>
      <c r="AN51" s="37"/>
      <c r="AO51" s="37"/>
      <c r="AP51" s="37"/>
      <c r="AQ51" s="37"/>
      <c r="AR51" s="37"/>
      <c r="AS51" s="37"/>
      <c r="AT51" s="37"/>
      <c r="AU51" s="37"/>
      <c r="AV51" s="37"/>
      <c r="AW51" s="37"/>
      <c r="AX51" s="37"/>
      <c r="AY51" s="37"/>
      <c r="AZ51" s="37"/>
      <c r="BA51" s="37"/>
      <c r="BB51" s="37"/>
      <c r="BC51" s="37"/>
      <c r="BD51" s="37"/>
      <c r="BE51" s="37"/>
    </row>
    <row r="52" spans="2:57" s="31" customFormat="1" ht="46.5" x14ac:dyDescent="0.3">
      <c r="B52" s="170" t="s">
        <v>513</v>
      </c>
      <c r="C52" s="161"/>
      <c r="D52" s="89" t="s">
        <v>175</v>
      </c>
      <c r="E52" s="176"/>
      <c r="F52" s="57"/>
      <c r="G52" s="161">
        <v>2</v>
      </c>
      <c r="H52" s="84" t="str">
        <f>IF(D52="t","t/t","t/m3")</f>
        <v>t/m3</v>
      </c>
      <c r="J52" s="173" t="s">
        <v>441</v>
      </c>
      <c r="K52" s="96">
        <f>IF(ISNUMBER(L52),L52,IF(OR(C53=Pudotusvalikot!$D$14,C53=Pudotusvalikot!$D$15),Kalusto!$G$96,VLOOKUP(C53,Kalusto!$C$44:$G$83,5,FALSE))*IF(OR(C54=Pudotusvalikot!$V$3,C54=Pudotusvalikot!$V$4),Muut!$E$38,IF(C54=Pudotusvalikot!$V$5,Muut!$E$39,IF(C49=Pudotusvalikot!$V$6,Muut!$E$40,Muut!$E$41))))</f>
        <v>6.1090000000000005E-2</v>
      </c>
      <c r="L52" s="40"/>
      <c r="M52" s="41" t="s">
        <v>200</v>
      </c>
      <c r="N52" s="41"/>
      <c r="O52" s="256"/>
      <c r="Q52" s="47"/>
      <c r="R52" s="50" t="str">
        <f ca="1">IF(AND(NOT(ISNUMBER(AB52)),NOT(ISNUMBER(AG52))),"",IF(ISNUMBER(AB52),AB52,0)+IF(ISNUMBER(AG52),AG52,0))</f>
        <v/>
      </c>
      <c r="S52" s="102" t="s">
        <v>172</v>
      </c>
      <c r="T52" s="48" t="str">
        <f>IF(ISNUMBER(L52),"Kohdetieto",IF(OR(C53=Pudotusvalikot!$D$14,C53=Pudotusvalikot!$D$15),Kalusto!$I$96,VLOOKUP(C53,Kalusto!$C$44:$L$83,7,FALSE)))</f>
        <v>Maansiirtoauto</v>
      </c>
      <c r="U52" s="48">
        <f>IF(ISNUMBER(L52),"Kohdetieto",IF(OR(C53=Pudotusvalikot!$D$14,C53=Pudotusvalikot!$D$15),Kalusto!$J$96,VLOOKUP(C53,Kalusto!$C$44:$L$83,8,FALSE)))</f>
        <v>32</v>
      </c>
      <c r="V52" s="49">
        <f>IF(ISNUMBER(L52),"Kohdetieto",IF(OR(C53=Pudotusvalikot!$D$14,C53=Pudotusvalikot!$D$15),Kalusto!$K$96,VLOOKUP(C53,Kalusto!$C$44:$L$83,9,FALSE)))</f>
        <v>0.8</v>
      </c>
      <c r="W52" s="49" t="str">
        <f>IF(ISNUMBER(L52),"Kohdetieto",IF(OR(C53=Pudotusvalikot!$D$14,C53=Pudotusvalikot!$D$15),Kalusto!$L$96,VLOOKUP(C53,Kalusto!$C$44:$L$83,10,FALSE)))</f>
        <v>maantieajo</v>
      </c>
      <c r="X52" s="50" t="str">
        <f>IF(ISBLANK(C52),"",IF(D52="t",C52,C52*G52))</f>
        <v/>
      </c>
      <c r="Y52" s="48" t="str">
        <f>IF(ISNUMBER(C55),C55,"")</f>
        <v/>
      </c>
      <c r="Z52" s="50" t="str">
        <f>IF(ISNUMBER(X52/(U52*V52)*Y52),X52/(U52*V52)*Y52,"")</f>
        <v/>
      </c>
      <c r="AA52" s="51">
        <f>IF(ISNUMBER(L52),L52,K52)</f>
        <v>6.1090000000000005E-2</v>
      </c>
      <c r="AB52" s="50" t="str">
        <f>IF(ISNUMBER(Y52*X52*K52),Y52*X52*K52,"")</f>
        <v/>
      </c>
      <c r="AC52" s="50" t="str">
        <f>IF(C72="Kyllä",Y52,"")</f>
        <v/>
      </c>
      <c r="AD52" s="50" t="str">
        <f>IF(C72="Kyllä",IF(ISNUMBER(X52/(U52*V52)),X52/(U52*V52),""),"")</f>
        <v/>
      </c>
      <c r="AE52" s="50" t="str">
        <f>IF(ISNUMBER(AD52*AC52),AD52*AC52,"")</f>
        <v/>
      </c>
      <c r="AF52" s="51">
        <f ca="1">IF(ISNUMBER(L53),L53,K53)</f>
        <v>0.71940999999999999</v>
      </c>
      <c r="AG52" s="50" t="str">
        <f ca="1">IF(ISNUMBER(AC52*AD52*K53),AC52*AD52*K53,"")</f>
        <v/>
      </c>
      <c r="AH52" s="48">
        <f>IF(T52="Jakelukuorma-auto",0,IF(T52="Maansiirtoauto",4,IF(T52="Puoliperävaunu",6,8)))</f>
        <v>4</v>
      </c>
      <c r="AI52" s="48">
        <f>IF(AND(T52="Jakelukuorma-auto",U52=6),0,IF(AND(T52="Jakelukuorma-auto",U52=15),2,0))</f>
        <v>0</v>
      </c>
      <c r="AJ52" s="48">
        <f>IF(W52="maantieajo",0,1)</f>
        <v>0</v>
      </c>
      <c r="AK52" s="108"/>
      <c r="AL52" s="36"/>
      <c r="AM52" s="36"/>
      <c r="AN52" s="37"/>
      <c r="AO52" s="37"/>
      <c r="AP52" s="37"/>
      <c r="AQ52" s="37"/>
      <c r="AR52" s="37"/>
      <c r="AS52" s="37"/>
      <c r="AT52" s="37"/>
      <c r="AU52" s="37"/>
      <c r="AV52" s="37"/>
      <c r="AW52" s="37"/>
      <c r="AX52" s="37"/>
      <c r="AY52" s="37"/>
      <c r="AZ52" s="37"/>
      <c r="BA52" s="37"/>
      <c r="BB52" s="37"/>
      <c r="BC52" s="37"/>
      <c r="BD52" s="37"/>
      <c r="BE52" s="37"/>
    </row>
    <row r="53" spans="2:57" s="31" customFormat="1" ht="46.5" x14ac:dyDescent="0.3">
      <c r="B53" s="170" t="s">
        <v>512</v>
      </c>
      <c r="C53" s="392" t="s">
        <v>84</v>
      </c>
      <c r="D53" s="393"/>
      <c r="E53" s="393"/>
      <c r="F53" s="393"/>
      <c r="G53" s="394"/>
      <c r="H53" s="84"/>
      <c r="J53" s="33" t="s">
        <v>442</v>
      </c>
      <c r="K53" s="96">
        <f ca="1">IF(ISNUMBER(L53),L53,IF($C$100="Ei","",IF(AND($C$100="Kyllä",OR(C53=Pudotusvalikot!$D$14,C53=Pudotusvalikot!$D$15)),Kalusto!$G$97,OFFSET(Kalusto!$G$85,AH52+AJ52+AI52,0,1,1)))*IF(OR(C54=Pudotusvalikot!$V$3,C54=Pudotusvalikot!$V$4),Muut!$E$38,IF(C54=Pudotusvalikot!$V$5,Muut!$E$39,IF(C49=Pudotusvalikot!$V$6,Muut!$E$40,Muut!$E$41))))</f>
        <v>0.71940999999999999</v>
      </c>
      <c r="L53" s="40"/>
      <c r="M53" s="41" t="s">
        <v>204</v>
      </c>
      <c r="N53" s="41"/>
      <c r="O53" s="256"/>
      <c r="P53" s="34"/>
      <c r="Q53" s="52"/>
      <c r="R53" s="36"/>
      <c r="S53" s="36"/>
      <c r="T53" s="36"/>
      <c r="U53" s="36"/>
      <c r="V53" s="36"/>
      <c r="W53" s="36"/>
      <c r="X53" s="36"/>
      <c r="Y53" s="36"/>
      <c r="Z53" s="36"/>
      <c r="AA53" s="36"/>
      <c r="AB53" s="36"/>
      <c r="AC53" s="36"/>
      <c r="AD53" s="36"/>
      <c r="AE53" s="36"/>
      <c r="AF53" s="36"/>
      <c r="AG53" s="36"/>
      <c r="AH53" s="36"/>
      <c r="AI53" s="36"/>
      <c r="AJ53" s="36"/>
      <c r="AK53" s="108"/>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5" x14ac:dyDescent="0.3">
      <c r="B54" s="186" t="s">
        <v>506</v>
      </c>
      <c r="C54" s="160" t="s">
        <v>242</v>
      </c>
      <c r="D54" s="34"/>
      <c r="E54" s="34"/>
      <c r="F54" s="34"/>
      <c r="G54" s="34"/>
      <c r="H54" s="59"/>
      <c r="J54" s="173"/>
      <c r="K54" s="173"/>
      <c r="L54" s="173"/>
      <c r="M54" s="41"/>
      <c r="N54" s="41"/>
      <c r="O54" s="256"/>
      <c r="Q54" s="47"/>
      <c r="R54" s="102"/>
      <c r="S54" s="102"/>
      <c r="T54" s="36"/>
      <c r="U54" s="36"/>
      <c r="V54" s="181"/>
      <c r="W54" s="181"/>
      <c r="X54" s="61"/>
      <c r="Y54" s="36"/>
      <c r="Z54" s="61"/>
      <c r="AA54" s="182"/>
      <c r="AB54" s="61"/>
      <c r="AC54" s="61"/>
      <c r="AD54" s="61"/>
      <c r="AE54" s="61"/>
      <c r="AF54" s="182"/>
      <c r="AG54" s="61"/>
      <c r="AH54" s="36"/>
      <c r="AI54" s="36"/>
      <c r="AJ54" s="36"/>
      <c r="AK54" s="108"/>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15.5" x14ac:dyDescent="0.3">
      <c r="B55" s="45" t="s">
        <v>514</v>
      </c>
      <c r="C55" s="162"/>
      <c r="D55" s="84" t="s">
        <v>5</v>
      </c>
      <c r="G55" s="34"/>
      <c r="H55" s="84"/>
      <c r="J55" s="53"/>
      <c r="K55" s="34"/>
      <c r="L55" s="34"/>
      <c r="M55" s="84"/>
      <c r="N55" s="84"/>
      <c r="O55" s="256"/>
      <c r="P55" s="53"/>
      <c r="Q55" s="52"/>
      <c r="R55" s="36"/>
      <c r="S55" s="36"/>
      <c r="T55" s="36"/>
      <c r="U55" s="36"/>
      <c r="V55" s="36"/>
      <c r="W55" s="36"/>
      <c r="X55" s="36"/>
      <c r="Y55" s="36"/>
      <c r="Z55" s="36"/>
      <c r="AA55" s="36"/>
      <c r="AB55" s="36"/>
      <c r="AC55" s="36"/>
      <c r="AD55" s="36"/>
      <c r="AE55" s="36"/>
      <c r="AF55" s="36"/>
      <c r="AG55" s="36"/>
      <c r="AH55" s="36"/>
      <c r="AI55" s="36"/>
      <c r="AJ55" s="36"/>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15.5" x14ac:dyDescent="0.3">
      <c r="B56" s="155" t="s">
        <v>459</v>
      </c>
      <c r="C56" s="34"/>
      <c r="D56" s="84"/>
      <c r="G56" s="34"/>
      <c r="H56" s="84"/>
      <c r="J56" s="33"/>
      <c r="K56" s="38" t="s">
        <v>329</v>
      </c>
      <c r="L56" s="38" t="s">
        <v>201</v>
      </c>
      <c r="M56" s="84"/>
      <c r="N56" s="84"/>
      <c r="O56" s="256"/>
      <c r="P56" s="34"/>
      <c r="Q56" s="35"/>
      <c r="R56" s="61" t="s">
        <v>350</v>
      </c>
      <c r="S56" s="36"/>
      <c r="T56" s="36" t="s">
        <v>446</v>
      </c>
      <c r="U56" s="36" t="s">
        <v>445</v>
      </c>
      <c r="V56" s="36" t="s">
        <v>443</v>
      </c>
      <c r="W56" s="36" t="s">
        <v>444</v>
      </c>
      <c r="X56" s="36" t="s">
        <v>447</v>
      </c>
      <c r="Y56" s="36" t="s">
        <v>449</v>
      </c>
      <c r="Z56" s="36" t="s">
        <v>448</v>
      </c>
      <c r="AA56" s="36" t="s">
        <v>202</v>
      </c>
      <c r="AB56" s="36" t="s">
        <v>380</v>
      </c>
      <c r="AC56" s="36" t="s">
        <v>450</v>
      </c>
      <c r="AD56" s="36" t="s">
        <v>381</v>
      </c>
      <c r="AE56" s="36" t="s">
        <v>451</v>
      </c>
      <c r="AF56" s="36" t="s">
        <v>452</v>
      </c>
      <c r="AG56" s="36" t="s">
        <v>638</v>
      </c>
      <c r="AH56" s="36" t="s">
        <v>206</v>
      </c>
      <c r="AI56" s="36" t="s">
        <v>278</v>
      </c>
      <c r="AJ56" s="36" t="s">
        <v>207</v>
      </c>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46.5" x14ac:dyDescent="0.3">
      <c r="B57" s="170" t="s">
        <v>513</v>
      </c>
      <c r="C57" s="161"/>
      <c r="D57" s="89" t="s">
        <v>175</v>
      </c>
      <c r="E57" s="176"/>
      <c r="F57" s="57"/>
      <c r="G57" s="161">
        <v>2</v>
      </c>
      <c r="H57" s="84" t="str">
        <f>IF(D57="t","t/t","t/m3")</f>
        <v>t/m3</v>
      </c>
      <c r="J57" s="173" t="s">
        <v>441</v>
      </c>
      <c r="K57" s="96">
        <f>IF(ISNUMBER(L57),L57,IF(OR(C58=Pudotusvalikot!$D$14,C58=Pudotusvalikot!$D$15),Kalusto!$G$96,VLOOKUP(C58,Kalusto!$C$44:$G$83,5,FALSE))*IF(OR(C59=Pudotusvalikot!$V$3,C59=Pudotusvalikot!$V$4),Muut!$E$38,IF(C59=Pudotusvalikot!$V$5,Muut!$E$39,IF(C59=Pudotusvalikot!$V$6,Muut!$E$40,Muut!$E$41))))</f>
        <v>6.1090000000000005E-2</v>
      </c>
      <c r="L57" s="40"/>
      <c r="M57" s="41" t="s">
        <v>200</v>
      </c>
      <c r="N57" s="41"/>
      <c r="O57" s="256"/>
      <c r="Q57" s="47"/>
      <c r="R57" s="50" t="str">
        <f ca="1">IF(AND(NOT(ISNUMBER(AB57)),NOT(ISNUMBER(AG57))),"",IF(ISNUMBER(AB57),AB57,0)+IF(ISNUMBER(AG57),AG57,0))</f>
        <v/>
      </c>
      <c r="S57" s="102" t="s">
        <v>172</v>
      </c>
      <c r="T57" s="48" t="str">
        <f>IF(ISNUMBER(L57),"Kohdetieto",IF(OR(C58=Pudotusvalikot!$D$14,C58=Pudotusvalikot!$D$15),Kalusto!$I$96,VLOOKUP(C58,Kalusto!$C$44:$L$83,7,FALSE)))</f>
        <v>Maansiirtoauto</v>
      </c>
      <c r="U57" s="48">
        <f>IF(ISNUMBER(L57),"Kohdetieto",IF(OR(C58=Pudotusvalikot!$D$14,C58=Pudotusvalikot!$D$15),Kalusto!$J$96,VLOOKUP(C58,Kalusto!$C$44:$L$83,8,FALSE)))</f>
        <v>32</v>
      </c>
      <c r="V57" s="49">
        <f>IF(ISNUMBER(L57),"Kohdetieto",IF(OR(C58=Pudotusvalikot!$D$14,C58=Pudotusvalikot!$D$15),Kalusto!$K$96,VLOOKUP(C58,Kalusto!$C$44:$L$83,9,FALSE)))</f>
        <v>0.8</v>
      </c>
      <c r="W57" s="49" t="str">
        <f>IF(ISNUMBER(L57),"Kohdetieto",IF(OR(C58=Pudotusvalikot!$D$14,C58=Pudotusvalikot!$D$15),Kalusto!$L$96,VLOOKUP(C58,Kalusto!$C$44:$L$83,10,FALSE)))</f>
        <v>maantieajo</v>
      </c>
      <c r="X57" s="50" t="str">
        <f>IF(ISBLANK(C57),"",IF(D57="t",C57,C57*G57))</f>
        <v/>
      </c>
      <c r="Y57" s="48" t="str">
        <f>IF(ISNUMBER(C60),C60,"")</f>
        <v/>
      </c>
      <c r="Z57" s="50" t="str">
        <f>IF(ISNUMBER(X57/(U57*V57)*Y57),X57/(U57*V57)*Y57,"")</f>
        <v/>
      </c>
      <c r="AA57" s="51">
        <f>IF(ISNUMBER(L57),L57,K57)</f>
        <v>6.1090000000000005E-2</v>
      </c>
      <c r="AB57" s="50" t="str">
        <f>IF(ISNUMBER(Y57*X57*K57),Y57*X57*K57,"")</f>
        <v/>
      </c>
      <c r="AC57" s="50" t="str">
        <f>IF(C72="Kyllä",Y57,"")</f>
        <v/>
      </c>
      <c r="AD57" s="50" t="str">
        <f>IF(C72="Kyllä",IF(ISNUMBER(X57/(U57*V57)),X57/(U57*V57),""),"")</f>
        <v/>
      </c>
      <c r="AE57" s="50" t="str">
        <f>IF(ISNUMBER(AD57*AC57),AD57*AC57,"")</f>
        <v/>
      </c>
      <c r="AF57" s="51">
        <f ca="1">IF(ISNUMBER(L58),L58,K58)</f>
        <v>0.71940999999999999</v>
      </c>
      <c r="AG57" s="50" t="str">
        <f ca="1">IF(ISNUMBER(AC57*AD57*K58),AC57*AD57*K58,"")</f>
        <v/>
      </c>
      <c r="AH57" s="48">
        <f>IF(T57="Jakelukuorma-auto",0,IF(T57="Maansiirtoauto",4,IF(T57="Puoliperävaunu",6,8)))</f>
        <v>4</v>
      </c>
      <c r="AI57" s="48">
        <f>IF(AND(T57="Jakelukuorma-auto",U57=6),0,IF(AND(T57="Jakelukuorma-auto",U57=15),2,0))</f>
        <v>0</v>
      </c>
      <c r="AJ57" s="48">
        <f>IF(W57="maantieajo",0,1)</f>
        <v>0</v>
      </c>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46.5" x14ac:dyDescent="0.3">
      <c r="B58" s="170" t="s">
        <v>512</v>
      </c>
      <c r="C58" s="392" t="s">
        <v>84</v>
      </c>
      <c r="D58" s="393"/>
      <c r="E58" s="393"/>
      <c r="F58" s="393"/>
      <c r="G58" s="394"/>
      <c r="H58" s="84"/>
      <c r="J58" s="33" t="s">
        <v>442</v>
      </c>
      <c r="K58" s="96">
        <f ca="1">IF(ISNUMBER(L58),L58,IF($C$100="Ei","",IF(AND($C$100="Kyllä",OR(C58=Pudotusvalikot!$D$14,C58=Pudotusvalikot!$D$15)),Kalusto!$G$97,OFFSET(Kalusto!$G$85,AH57+AJ57+AI57,0,1,1)))*IF(OR(C59=Pudotusvalikot!$V$3,C59=Pudotusvalikot!$V$4),Muut!$E$38,IF(C59=Pudotusvalikot!$V$5,Muut!$E$39,IF(C59=Pudotusvalikot!$V$6,Muut!$E$40,Muut!$E$41))))</f>
        <v>0.71940999999999999</v>
      </c>
      <c r="L58" s="40"/>
      <c r="M58" s="41" t="s">
        <v>204</v>
      </c>
      <c r="N58" s="41"/>
      <c r="O58" s="256"/>
      <c r="P58" s="34"/>
      <c r="Q58" s="52"/>
      <c r="R58" s="36"/>
      <c r="S58" s="36"/>
      <c r="T58" s="36"/>
      <c r="U58" s="36"/>
      <c r="V58" s="36"/>
      <c r="W58" s="36"/>
      <c r="X58" s="36"/>
      <c r="Y58" s="36"/>
      <c r="Z58" s="36"/>
      <c r="AA58" s="36"/>
      <c r="AB58" s="36"/>
      <c r="AC58" s="36"/>
      <c r="AD58" s="36"/>
      <c r="AE58" s="36"/>
      <c r="AF58" s="36"/>
      <c r="AG58" s="36"/>
      <c r="AH58" s="36"/>
      <c r="AI58" s="36"/>
      <c r="AJ58" s="36"/>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5" x14ac:dyDescent="0.3">
      <c r="B59" s="186" t="s">
        <v>506</v>
      </c>
      <c r="C59" s="160" t="s">
        <v>242</v>
      </c>
      <c r="D59" s="34"/>
      <c r="E59" s="34"/>
      <c r="F59" s="34"/>
      <c r="G59" s="34"/>
      <c r="H59" s="59"/>
      <c r="J59" s="173"/>
      <c r="K59" s="173"/>
      <c r="L59" s="173"/>
      <c r="M59" s="41"/>
      <c r="N59" s="41"/>
      <c r="O59" s="256"/>
      <c r="Q59" s="47"/>
      <c r="R59" s="102"/>
      <c r="S59" s="102"/>
      <c r="T59" s="36"/>
      <c r="U59" s="36"/>
      <c r="V59" s="181"/>
      <c r="W59" s="181"/>
      <c r="X59" s="61"/>
      <c r="Y59" s="36"/>
      <c r="Z59" s="61"/>
      <c r="AA59" s="182"/>
      <c r="AB59" s="61"/>
      <c r="AC59" s="61"/>
      <c r="AD59" s="61"/>
      <c r="AE59" s="61"/>
      <c r="AF59" s="182"/>
      <c r="AG59" s="61"/>
      <c r="AH59" s="36"/>
      <c r="AI59" s="36"/>
      <c r="AJ59" s="36"/>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15.5" x14ac:dyDescent="0.3">
      <c r="B60" s="45" t="s">
        <v>514</v>
      </c>
      <c r="C60" s="162"/>
      <c r="D60" s="84" t="s">
        <v>5</v>
      </c>
      <c r="G60" s="34"/>
      <c r="H60" s="84"/>
      <c r="J60" s="53"/>
      <c r="K60" s="34"/>
      <c r="L60" s="34"/>
      <c r="M60" s="84"/>
      <c r="N60" s="84"/>
      <c r="O60" s="256"/>
      <c r="P60" s="53"/>
      <c r="Q60" s="52"/>
      <c r="R60" s="36"/>
      <c r="S60" s="36"/>
      <c r="T60" s="36"/>
      <c r="U60" s="36"/>
      <c r="V60" s="36"/>
      <c r="W60" s="36"/>
      <c r="X60" s="36"/>
      <c r="Y60" s="36"/>
      <c r="Z60" s="36"/>
      <c r="AA60" s="36"/>
      <c r="AB60" s="36"/>
      <c r="AC60" s="36"/>
      <c r="AD60" s="36"/>
      <c r="AE60" s="36"/>
      <c r="AF60" s="36"/>
      <c r="AG60" s="36"/>
      <c r="AH60" s="36"/>
      <c r="AI60" s="36"/>
      <c r="AJ60" s="36"/>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15.5" x14ac:dyDescent="0.3">
      <c r="B61" s="155" t="s">
        <v>460</v>
      </c>
      <c r="C61" s="34"/>
      <c r="D61" s="84"/>
      <c r="G61" s="34"/>
      <c r="H61" s="84"/>
      <c r="J61" s="33"/>
      <c r="K61" s="38" t="s">
        <v>329</v>
      </c>
      <c r="L61" s="38" t="s">
        <v>201</v>
      </c>
      <c r="M61" s="84"/>
      <c r="N61" s="84"/>
      <c r="O61" s="256"/>
      <c r="P61" s="34"/>
      <c r="Q61" s="35"/>
      <c r="R61" s="61" t="s">
        <v>350</v>
      </c>
      <c r="S61" s="36"/>
      <c r="T61" s="36" t="s">
        <v>446</v>
      </c>
      <c r="U61" s="36" t="s">
        <v>445</v>
      </c>
      <c r="V61" s="36" t="s">
        <v>443</v>
      </c>
      <c r="W61" s="36" t="s">
        <v>444</v>
      </c>
      <c r="X61" s="36" t="s">
        <v>447</v>
      </c>
      <c r="Y61" s="36" t="s">
        <v>449</v>
      </c>
      <c r="Z61" s="36" t="s">
        <v>448</v>
      </c>
      <c r="AA61" s="36" t="s">
        <v>202</v>
      </c>
      <c r="AB61" s="36" t="s">
        <v>380</v>
      </c>
      <c r="AC61" s="36" t="s">
        <v>450</v>
      </c>
      <c r="AD61" s="36" t="s">
        <v>381</v>
      </c>
      <c r="AE61" s="36" t="s">
        <v>451</v>
      </c>
      <c r="AF61" s="36" t="s">
        <v>452</v>
      </c>
      <c r="AG61" s="36" t="s">
        <v>638</v>
      </c>
      <c r="AH61" s="36" t="s">
        <v>206</v>
      </c>
      <c r="AI61" s="36" t="s">
        <v>278</v>
      </c>
      <c r="AJ61" s="36" t="s">
        <v>207</v>
      </c>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46.5" x14ac:dyDescent="0.3">
      <c r="B62" s="170" t="s">
        <v>513</v>
      </c>
      <c r="C62" s="161"/>
      <c r="D62" s="89" t="s">
        <v>175</v>
      </c>
      <c r="E62" s="34"/>
      <c r="F62" s="57"/>
      <c r="G62" s="161">
        <v>2</v>
      </c>
      <c r="H62" s="84" t="str">
        <f>IF(D62="t","t/t","t/m3")</f>
        <v>t/m3</v>
      </c>
      <c r="J62" s="173" t="s">
        <v>441</v>
      </c>
      <c r="K62" s="96">
        <f>IF(ISNUMBER(L62),L62,IF(OR(C63=Pudotusvalikot!$D$14,C63=Pudotusvalikot!$D$15),Kalusto!$G$96,VLOOKUP(C63,Kalusto!$C$44:$G$83,5,FALSE))*IF(OR(C64=Pudotusvalikot!$V$3,C64=Pudotusvalikot!$V$4),Muut!$E$38,IF(C64=Pudotusvalikot!$V$5,Muut!$E$39,IF(C64=Pudotusvalikot!$V$6,Muut!$E$40,Muut!$E$41))))</f>
        <v>6.1090000000000005E-2</v>
      </c>
      <c r="L62" s="40"/>
      <c r="M62" s="41" t="s">
        <v>200</v>
      </c>
      <c r="N62" s="41"/>
      <c r="O62" s="256"/>
      <c r="Q62" s="47"/>
      <c r="R62" s="50" t="str">
        <f ca="1">IF(AND(NOT(ISNUMBER(AB62)),NOT(ISNUMBER(AG62))),"",IF(ISNUMBER(AB62),AB62,0)+IF(ISNUMBER(AG62),AG62,0))</f>
        <v/>
      </c>
      <c r="S62" s="102" t="s">
        <v>172</v>
      </c>
      <c r="T62" s="48" t="str">
        <f>IF(ISNUMBER(L62),"Kohdetieto",IF(OR(C63=Pudotusvalikot!$D$14,C63=Pudotusvalikot!$D$15),Kalusto!$I$96,VLOOKUP(C63,Kalusto!$C$44:$L$83,7,FALSE)))</f>
        <v>Maansiirtoauto</v>
      </c>
      <c r="U62" s="48">
        <f>IF(ISNUMBER(L62),"Kohdetieto",IF(OR(C63=Pudotusvalikot!$D$14,C63=Pudotusvalikot!$D$15),Kalusto!$J$96,VLOOKUP(C63,Kalusto!$C$44:$L$83,8,FALSE)))</f>
        <v>32</v>
      </c>
      <c r="V62" s="49">
        <f>IF(ISNUMBER(L62),"Kohdetieto",IF(OR(C63=Pudotusvalikot!$D$14,C63=Pudotusvalikot!$D$15),Kalusto!$K$96,VLOOKUP(C63,Kalusto!$C$44:$L$83,9,FALSE)))</f>
        <v>0.8</v>
      </c>
      <c r="W62" s="49" t="str">
        <f>IF(ISNUMBER(L62),"Kohdetieto",IF(OR(C63=Pudotusvalikot!$D$14,C63=Pudotusvalikot!$D$15),Kalusto!$L$96,VLOOKUP(C63,Kalusto!$C$44:$L$83,10,FALSE)))</f>
        <v>maantieajo</v>
      </c>
      <c r="X62" s="50" t="str">
        <f>IF(ISBLANK(C62),"",IF(D62="t",C62,C62*G62))</f>
        <v/>
      </c>
      <c r="Y62" s="48" t="str">
        <f>IF(ISNUMBER(C65),C65,"")</f>
        <v/>
      </c>
      <c r="Z62" s="50" t="str">
        <f>IF(ISNUMBER(X62/(U62*V62)*Y62),X62/(U62*V62)*Y62,"")</f>
        <v/>
      </c>
      <c r="AA62" s="51">
        <f>IF(ISNUMBER(L62),L62,K62)</f>
        <v>6.1090000000000005E-2</v>
      </c>
      <c r="AB62" s="50" t="str">
        <f>IF(ISNUMBER(Y62*X62*K62),Y62*X62*K62,"")</f>
        <v/>
      </c>
      <c r="AC62" s="50" t="str">
        <f>IF(C72="Kyllä",Y62,"")</f>
        <v/>
      </c>
      <c r="AD62" s="50" t="str">
        <f>IF(C72="Kyllä",IF(ISNUMBER(X62/(U62*V62)),X62/(U62*V62),""),"")</f>
        <v/>
      </c>
      <c r="AE62" s="50" t="str">
        <f>IF(ISNUMBER(AD62*AC62),AD62*AC62,"")</f>
        <v/>
      </c>
      <c r="AF62" s="51">
        <f ca="1">IF(ISNUMBER(L63),L63,K63)</f>
        <v>0.71940999999999999</v>
      </c>
      <c r="AG62" s="50" t="str">
        <f ca="1">IF(ISNUMBER(AC62*AD62*K63),AC62*AD62*K63,"")</f>
        <v/>
      </c>
      <c r="AH62" s="48">
        <f>IF(T62="Jakelukuorma-auto",0,IF(T62="Maansiirtoauto",4,IF(T62="Puoliperävaunu",6,8)))</f>
        <v>4</v>
      </c>
      <c r="AI62" s="48">
        <f>IF(AND(T62="Jakelukuorma-auto",U62=6),0,IF(AND(T62="Jakelukuorma-auto",U62=15),2,0))</f>
        <v>0</v>
      </c>
      <c r="AJ62" s="48">
        <f>IF(W62="maantieajo",0,1)</f>
        <v>0</v>
      </c>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46.5" x14ac:dyDescent="0.3">
      <c r="B63" s="170" t="s">
        <v>512</v>
      </c>
      <c r="C63" s="392" t="s">
        <v>84</v>
      </c>
      <c r="D63" s="393"/>
      <c r="E63" s="393"/>
      <c r="F63" s="393"/>
      <c r="G63" s="394"/>
      <c r="H63" s="84"/>
      <c r="J63" s="33" t="s">
        <v>442</v>
      </c>
      <c r="K63" s="96">
        <f ca="1">IF(ISNUMBER(L63),L63,IF($C$100="Ei","",IF(AND($C$100="Kyllä",OR(C63=Pudotusvalikot!$D$14,C63=Pudotusvalikot!$D$15)),Kalusto!$G$97,OFFSET(Kalusto!$G$85,AH62+AJ62+AI62,0,1,1)))*IF(OR(C64=Pudotusvalikot!$V$3,C64=Pudotusvalikot!$V$4),Muut!$E$38,IF(C64=Pudotusvalikot!$V$5,Muut!$E$39,IF(C64=Pudotusvalikot!$V$6,Muut!$E$40,Muut!$E$41))))</f>
        <v>0.71940999999999999</v>
      </c>
      <c r="L63" s="40"/>
      <c r="M63" s="41" t="s">
        <v>204</v>
      </c>
      <c r="N63" s="41"/>
      <c r="O63" s="256"/>
      <c r="P63" s="34"/>
      <c r="Q63" s="52"/>
      <c r="R63" s="36"/>
      <c r="S63" s="36"/>
      <c r="T63" s="36"/>
      <c r="U63" s="36"/>
      <c r="V63" s="36"/>
      <c r="W63" s="36"/>
      <c r="X63" s="36"/>
      <c r="Y63" s="36"/>
      <c r="Z63" s="36"/>
      <c r="AA63" s="36"/>
      <c r="AB63" s="36"/>
      <c r="AC63" s="36"/>
      <c r="AD63" s="36"/>
      <c r="AE63" s="36"/>
      <c r="AF63" s="36"/>
      <c r="AG63" s="36"/>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5" x14ac:dyDescent="0.3">
      <c r="B64" s="186" t="s">
        <v>506</v>
      </c>
      <c r="C64" s="160" t="s">
        <v>242</v>
      </c>
      <c r="D64" s="34"/>
      <c r="E64" s="34"/>
      <c r="F64" s="34"/>
      <c r="G64" s="34"/>
      <c r="H64" s="59"/>
      <c r="J64" s="173"/>
      <c r="K64" s="173"/>
      <c r="L64" s="173"/>
      <c r="M64" s="41"/>
      <c r="N64" s="41"/>
      <c r="O64" s="256"/>
      <c r="Q64" s="47"/>
      <c r="R64" s="102"/>
      <c r="S64" s="102"/>
      <c r="T64" s="36"/>
      <c r="U64" s="36"/>
      <c r="V64" s="181"/>
      <c r="W64" s="181"/>
      <c r="X64" s="61"/>
      <c r="Y64" s="36"/>
      <c r="Z64" s="61"/>
      <c r="AA64" s="182"/>
      <c r="AB64" s="61"/>
      <c r="AC64" s="61"/>
      <c r="AD64" s="61"/>
      <c r="AE64" s="61"/>
      <c r="AF64" s="182"/>
      <c r="AG64" s="61"/>
      <c r="AH64" s="36"/>
      <c r="AI64" s="36"/>
      <c r="AJ64" s="36"/>
      <c r="AK64" s="108"/>
      <c r="AL64" s="36"/>
      <c r="AM64" s="36"/>
      <c r="AN64" s="37"/>
      <c r="AO64" s="37"/>
      <c r="AP64" s="37"/>
      <c r="AQ64" s="37"/>
      <c r="AR64" s="37"/>
      <c r="AS64" s="37"/>
      <c r="AT64" s="37"/>
      <c r="AU64" s="37"/>
      <c r="AV64" s="37"/>
      <c r="AW64" s="37"/>
      <c r="AX64" s="37"/>
      <c r="AY64" s="37"/>
      <c r="AZ64" s="37"/>
      <c r="BA64" s="37"/>
      <c r="BB64" s="37"/>
      <c r="BC64" s="37"/>
      <c r="BD64" s="37"/>
      <c r="BE64" s="37"/>
    </row>
    <row r="65" spans="2:59" s="31" customFormat="1" ht="15.5" x14ac:dyDescent="0.3">
      <c r="B65" s="45" t="s">
        <v>514</v>
      </c>
      <c r="C65" s="162"/>
      <c r="D65" s="90" t="s">
        <v>176</v>
      </c>
      <c r="E65" s="58"/>
      <c r="F65" s="58"/>
      <c r="G65" s="34"/>
      <c r="H65" s="84"/>
      <c r="J65" s="53"/>
      <c r="K65" s="34"/>
      <c r="L65" s="34"/>
      <c r="M65" s="84"/>
      <c r="N65" s="84"/>
      <c r="O65" s="256"/>
      <c r="P65" s="53"/>
      <c r="Q65" s="52"/>
      <c r="R65" s="36"/>
      <c r="S65" s="36"/>
      <c r="T65" s="36"/>
      <c r="U65" s="36"/>
      <c r="V65" s="36"/>
      <c r="W65" s="36"/>
      <c r="X65" s="36"/>
      <c r="Y65" s="36"/>
      <c r="Z65" s="36"/>
      <c r="AA65" s="36"/>
      <c r="AB65" s="36"/>
      <c r="AC65" s="36"/>
      <c r="AD65" s="36"/>
      <c r="AE65" s="36"/>
      <c r="AF65" s="36"/>
      <c r="AG65" s="36"/>
      <c r="AH65" s="36"/>
      <c r="AI65" s="36"/>
      <c r="AJ65" s="36"/>
      <c r="AK65" s="108"/>
      <c r="AL65" s="36"/>
      <c r="AM65" s="36"/>
      <c r="AN65" s="37"/>
      <c r="AO65" s="37"/>
      <c r="AP65" s="37"/>
      <c r="AQ65" s="37"/>
      <c r="AR65" s="37"/>
      <c r="AS65" s="37"/>
      <c r="AT65" s="37"/>
      <c r="AU65" s="37"/>
      <c r="AV65" s="37"/>
      <c r="AW65" s="37"/>
      <c r="AX65" s="37"/>
      <c r="AY65" s="37"/>
      <c r="AZ65" s="37"/>
      <c r="BA65" s="37"/>
      <c r="BB65" s="37"/>
      <c r="BC65" s="37"/>
      <c r="BD65" s="37"/>
      <c r="BE65" s="37"/>
    </row>
    <row r="66" spans="2:59" s="31" customFormat="1" ht="15.5" x14ac:dyDescent="0.3">
      <c r="B66" s="155" t="s">
        <v>334</v>
      </c>
      <c r="C66" s="34"/>
      <c r="D66" s="84"/>
      <c r="G66" s="34"/>
      <c r="H66" s="84"/>
      <c r="J66" s="33"/>
      <c r="K66" s="38" t="s">
        <v>329</v>
      </c>
      <c r="L66" s="38" t="s">
        <v>201</v>
      </c>
      <c r="M66" s="84"/>
      <c r="N66" s="84"/>
      <c r="O66" s="256"/>
      <c r="P66" s="34"/>
      <c r="Q66" s="35"/>
      <c r="R66" s="61" t="s">
        <v>350</v>
      </c>
      <c r="S66" s="36"/>
      <c r="T66" s="36" t="s">
        <v>446</v>
      </c>
      <c r="U66" s="36" t="s">
        <v>445</v>
      </c>
      <c r="V66" s="36" t="s">
        <v>443</v>
      </c>
      <c r="W66" s="36" t="s">
        <v>444</v>
      </c>
      <c r="X66" s="36" t="s">
        <v>447</v>
      </c>
      <c r="Y66" s="36" t="s">
        <v>449</v>
      </c>
      <c r="Z66" s="36" t="s">
        <v>448</v>
      </c>
      <c r="AA66" s="36" t="s">
        <v>202</v>
      </c>
      <c r="AB66" s="36" t="s">
        <v>380</v>
      </c>
      <c r="AC66" s="36" t="s">
        <v>450</v>
      </c>
      <c r="AD66" s="36" t="s">
        <v>381</v>
      </c>
      <c r="AE66" s="36" t="s">
        <v>451</v>
      </c>
      <c r="AF66" s="36" t="s">
        <v>452</v>
      </c>
      <c r="AG66" s="36" t="s">
        <v>638</v>
      </c>
      <c r="AH66" s="36" t="s">
        <v>206</v>
      </c>
      <c r="AI66" s="36" t="s">
        <v>278</v>
      </c>
      <c r="AJ66" s="36" t="s">
        <v>207</v>
      </c>
      <c r="AK66" s="108"/>
      <c r="AL66" s="36"/>
      <c r="AM66" s="36"/>
      <c r="AN66" s="37"/>
      <c r="AO66" s="37"/>
      <c r="AP66" s="37"/>
      <c r="AQ66" s="37"/>
      <c r="AR66" s="37"/>
      <c r="AS66" s="37"/>
      <c r="AT66" s="37"/>
      <c r="AU66" s="37"/>
      <c r="AV66" s="37"/>
      <c r="AW66" s="37"/>
      <c r="AX66" s="37"/>
      <c r="AY66" s="37"/>
      <c r="AZ66" s="37"/>
      <c r="BA66" s="37"/>
      <c r="BB66" s="37"/>
      <c r="BC66" s="37"/>
      <c r="BD66" s="37"/>
      <c r="BE66" s="37"/>
    </row>
    <row r="67" spans="2:59" s="31" customFormat="1" ht="46.5" x14ac:dyDescent="0.3">
      <c r="B67" s="170" t="s">
        <v>513</v>
      </c>
      <c r="C67" s="161"/>
      <c r="D67" s="89" t="s">
        <v>175</v>
      </c>
      <c r="E67" s="34"/>
      <c r="F67" s="57"/>
      <c r="G67" s="161">
        <v>2</v>
      </c>
      <c r="H67" s="84" t="str">
        <f>IF(D67="t","t/t","t/m3")</f>
        <v>t/m3</v>
      </c>
      <c r="J67" s="173" t="s">
        <v>441</v>
      </c>
      <c r="K67" s="96">
        <f>IF(ISNUMBER(L67),L67,IF(OR(C68=Pudotusvalikot!$D$14,C68=Pudotusvalikot!$D$15),Kalusto!$G$96,VLOOKUP(C68,Kalusto!$C$44:$G$83,5,FALSE))*IF(OR(C69=Pudotusvalikot!$V$3,C69=Pudotusvalikot!$V$4),Muut!$E$38,IF(C69=Pudotusvalikot!$V$5,Muut!$E$39,IF(C69=Pudotusvalikot!$V$6,Muut!$E$40,Muut!$E$41))))</f>
        <v>5.7709999999999997E-2</v>
      </c>
      <c r="L67" s="40"/>
      <c r="M67" s="41" t="s">
        <v>200</v>
      </c>
      <c r="N67" s="41"/>
      <c r="O67" s="256"/>
      <c r="Q67" s="47"/>
      <c r="R67" s="50" t="str">
        <f ca="1">IF(AND(NOT(ISNUMBER(AB67)),NOT(ISNUMBER(AG67))),"",IF(ISNUMBER(AB67),AB67,0)+IF(ISNUMBER(AG67),AG67,0))</f>
        <v/>
      </c>
      <c r="S67" s="102" t="s">
        <v>172</v>
      </c>
      <c r="T67" s="48" t="str">
        <f>IF(ISNUMBER(L67),"Kohdetieto",IF(OR(C68=Pudotusvalikot!$D$14,C68=Pudotusvalikot!$D$15),Kalusto!$I$96,VLOOKUP(C68,Kalusto!$C$44:$L$83,7,FALSE)))</f>
        <v>Maansiirtoauto</v>
      </c>
      <c r="U67" s="48">
        <f>IF(ISNUMBER(L67),"Kohdetieto",IF(OR(C68=Pudotusvalikot!$D$14,C68=Pudotusvalikot!$D$15),Kalusto!$J$96,VLOOKUP(C68,Kalusto!$C$44:$L$83,8,FALSE)))</f>
        <v>32</v>
      </c>
      <c r="V67" s="49">
        <f>IF(ISNUMBER(L67),"Kohdetieto",IF(OR(C68=Pudotusvalikot!$D$14,C68=Pudotusvalikot!$D$15),Kalusto!$K$96,VLOOKUP(C68,Kalusto!$C$44:$L$83,9,FALSE)))</f>
        <v>0.8</v>
      </c>
      <c r="W67" s="49" t="str">
        <f>IF(ISNUMBER(L67),"Kohdetieto",IF(OR(C68=Pudotusvalikot!$D$14,C68=Pudotusvalikot!$D$15),Kalusto!$L$96,VLOOKUP(C68,Kalusto!$C$44:$L$83,10,FALSE)))</f>
        <v>maantieajo</v>
      </c>
      <c r="X67" s="50" t="str">
        <f>IF(ISBLANK(C67),"",IF(D67="t",C67,C67*G67))</f>
        <v/>
      </c>
      <c r="Y67" s="48" t="str">
        <f>IF(ISNUMBER(C70),C70,"")</f>
        <v/>
      </c>
      <c r="Z67" s="50" t="str">
        <f>IF(ISNUMBER(X67/(U67*V67)*Y67),X67/(U67*V67)*Y67,"")</f>
        <v/>
      </c>
      <c r="AA67" s="51">
        <f>IF(ISNUMBER(L67),L67,K67)</f>
        <v>5.7709999999999997E-2</v>
      </c>
      <c r="AB67" s="50" t="str">
        <f>IF(ISNUMBER(Y67*X67*K67),Y67*X67*K67,"")</f>
        <v/>
      </c>
      <c r="AC67" s="50" t="str">
        <f>IF(C72="Kyllä",Y67,"")</f>
        <v/>
      </c>
      <c r="AD67" s="50" t="str">
        <f>IF(C72="Kyllä",IF(ISNUMBER(X67/(U67*V67)),X67/(U67*V67),""),"")</f>
        <v/>
      </c>
      <c r="AE67" s="50" t="str">
        <f>IF(ISNUMBER(AD67*AC67),AD67*AC67,"")</f>
        <v/>
      </c>
      <c r="AF67" s="51">
        <f ca="1">IF(ISNUMBER(L68),L68,K68)</f>
        <v>0.71940999999999999</v>
      </c>
      <c r="AG67" s="50" t="str">
        <f ca="1">IF(ISNUMBER(AC67*AD67*K68),AC67*AD67*K68,"")</f>
        <v/>
      </c>
      <c r="AH67" s="48">
        <f>IF(T67="Jakelukuorma-auto",0,IF(T67="Maansiirtoauto",4,IF(T67="Puoliperävaunu",6,8)))</f>
        <v>4</v>
      </c>
      <c r="AI67" s="48">
        <f>IF(AND(T67="Jakelukuorma-auto",U67=6),0,IF(AND(T67="Jakelukuorma-auto",U67=15),2,0))</f>
        <v>0</v>
      </c>
      <c r="AJ67" s="48">
        <f>IF(W67="maantieajo",0,1)</f>
        <v>0</v>
      </c>
      <c r="AK67" s="108"/>
      <c r="AL67" s="36"/>
      <c r="AM67" s="36"/>
      <c r="AN67" s="37"/>
      <c r="AO67" s="37"/>
      <c r="AP67" s="37"/>
      <c r="AQ67" s="37"/>
      <c r="AR67" s="37"/>
      <c r="AS67" s="37"/>
      <c r="AT67" s="37"/>
      <c r="AU67" s="37"/>
      <c r="AV67" s="37"/>
      <c r="AW67" s="37"/>
      <c r="AX67" s="37"/>
      <c r="AY67" s="37"/>
      <c r="AZ67" s="37"/>
      <c r="BA67" s="37"/>
      <c r="BB67" s="37"/>
      <c r="BC67" s="37"/>
      <c r="BD67" s="37"/>
      <c r="BE67" s="37"/>
    </row>
    <row r="68" spans="2:59" s="31" customFormat="1" ht="46.5" x14ac:dyDescent="0.3">
      <c r="B68" s="170" t="s">
        <v>512</v>
      </c>
      <c r="C68" s="392" t="s">
        <v>330</v>
      </c>
      <c r="D68" s="393"/>
      <c r="E68" s="393"/>
      <c r="F68" s="393"/>
      <c r="G68" s="394"/>
      <c r="H68" s="84"/>
      <c r="J68" s="33" t="s">
        <v>442</v>
      </c>
      <c r="K68" s="96">
        <f ca="1">IF(ISNUMBER(L68),L68,IF($C$100="Ei","",IF(AND($C$100="Kyllä",OR(C68=Pudotusvalikot!$D$14,C68=Pudotusvalikot!$D$15)),Kalusto!$G$97,OFFSET(Kalusto!$G$85,AH67+AJ67+AI67,0,1,1)))*IF(OR(C69=Pudotusvalikot!$V$3,C69=Pudotusvalikot!$V$4),Muut!$E$38,IF(C69=Pudotusvalikot!$V$5,Muut!$E$39,IF(C69=Pudotusvalikot!$V$6,Muut!$E$40,Muut!$E$41))))</f>
        <v>0.71940999999999999</v>
      </c>
      <c r="L68" s="40"/>
      <c r="M68" s="41" t="s">
        <v>204</v>
      </c>
      <c r="N68" s="41"/>
      <c r="O68" s="256"/>
      <c r="P68" s="34"/>
      <c r="Q68" s="52"/>
      <c r="R68" s="99"/>
      <c r="S68" s="36"/>
      <c r="T68" s="36"/>
      <c r="U68" s="36"/>
      <c r="V68" s="36"/>
      <c r="W68" s="36"/>
      <c r="X68" s="36"/>
      <c r="Y68" s="36"/>
      <c r="Z68" s="36"/>
      <c r="AA68" s="36"/>
      <c r="AB68" s="36"/>
      <c r="AC68" s="36"/>
      <c r="AD68" s="36"/>
      <c r="AE68" s="36"/>
      <c r="AF68" s="36"/>
      <c r="AG68" s="36"/>
      <c r="AH68" s="36"/>
      <c r="AI68" s="36"/>
      <c r="AJ68" s="36"/>
      <c r="AK68" s="36"/>
      <c r="AL68" s="36"/>
      <c r="AM68" s="36"/>
      <c r="AN68" s="37"/>
      <c r="AO68" s="37"/>
      <c r="AP68" s="37"/>
      <c r="AQ68" s="37"/>
      <c r="AR68" s="37"/>
      <c r="AS68" s="37"/>
      <c r="AT68" s="37"/>
      <c r="AU68" s="37"/>
      <c r="AV68" s="37"/>
      <c r="AW68" s="37"/>
      <c r="AX68" s="37"/>
      <c r="AY68" s="37"/>
      <c r="AZ68" s="37"/>
      <c r="BA68" s="37"/>
      <c r="BB68" s="37"/>
      <c r="BC68" s="37"/>
      <c r="BD68" s="37"/>
      <c r="BE68" s="37"/>
    </row>
    <row r="69" spans="2:59" s="31" customFormat="1" ht="15.5" x14ac:dyDescent="0.3">
      <c r="B69" s="186" t="s">
        <v>506</v>
      </c>
      <c r="C69" s="160" t="s">
        <v>242</v>
      </c>
      <c r="D69" s="34"/>
      <c r="E69" s="34"/>
      <c r="F69" s="34"/>
      <c r="G69" s="34"/>
      <c r="H69" s="59"/>
      <c r="J69" s="173"/>
      <c r="K69" s="173"/>
      <c r="L69" s="173"/>
      <c r="M69" s="41"/>
      <c r="N69" s="41"/>
      <c r="O69" s="256"/>
      <c r="Q69" s="47"/>
      <c r="R69" s="102"/>
      <c r="S69" s="102"/>
      <c r="T69" s="36"/>
      <c r="U69" s="36"/>
      <c r="V69" s="181"/>
      <c r="W69" s="181"/>
      <c r="X69" s="61"/>
      <c r="Y69" s="36"/>
      <c r="Z69" s="61"/>
      <c r="AA69" s="182"/>
      <c r="AB69" s="61"/>
      <c r="AC69" s="61"/>
      <c r="AD69" s="61"/>
      <c r="AE69" s="61"/>
      <c r="AF69" s="182"/>
      <c r="AG69" s="61"/>
      <c r="AH69" s="36"/>
      <c r="AI69" s="36"/>
      <c r="AJ69" s="36"/>
      <c r="AK69" s="108"/>
      <c r="AL69" s="36"/>
      <c r="AM69" s="36"/>
      <c r="AN69" s="37"/>
      <c r="AO69" s="37"/>
      <c r="AP69" s="37"/>
      <c r="AQ69" s="37"/>
      <c r="AR69" s="37"/>
      <c r="AS69" s="37"/>
      <c r="AT69" s="37"/>
      <c r="AU69" s="37"/>
      <c r="AV69" s="37"/>
      <c r="AW69" s="37"/>
      <c r="AX69" s="37"/>
      <c r="AY69" s="37"/>
      <c r="AZ69" s="37"/>
      <c r="BA69" s="37"/>
      <c r="BB69" s="37"/>
      <c r="BC69" s="37"/>
      <c r="BD69" s="37"/>
      <c r="BE69" s="37"/>
    </row>
    <row r="70" spans="2:59" s="31" customFormat="1" ht="15.5" x14ac:dyDescent="0.3">
      <c r="B70" s="45" t="s">
        <v>514</v>
      </c>
      <c r="C70" s="162"/>
      <c r="D70" s="84" t="s">
        <v>5</v>
      </c>
      <c r="G70" s="34"/>
      <c r="H70" s="84"/>
      <c r="J70" s="53"/>
      <c r="K70" s="34"/>
      <c r="L70" s="34"/>
      <c r="M70" s="84"/>
      <c r="N70" s="84"/>
      <c r="O70" s="256"/>
      <c r="P70" s="53"/>
      <c r="Q70" s="52"/>
      <c r="R70" s="99"/>
      <c r="S70" s="36"/>
      <c r="T70" s="36"/>
      <c r="U70" s="36"/>
      <c r="V70" s="36"/>
      <c r="W70" s="36"/>
      <c r="X70" s="36"/>
      <c r="Y70" s="36"/>
      <c r="Z70" s="36"/>
      <c r="AA70" s="36"/>
      <c r="AB70" s="36"/>
      <c r="AC70" s="36"/>
      <c r="AD70" s="36"/>
      <c r="AE70" s="36"/>
      <c r="AF70" s="36"/>
      <c r="AG70" s="36"/>
      <c r="AH70" s="36"/>
      <c r="AI70" s="36"/>
      <c r="AJ70" s="36"/>
      <c r="AK70" s="36"/>
      <c r="AL70" s="36"/>
      <c r="AM70" s="36"/>
      <c r="AN70" s="37"/>
      <c r="AO70" s="37"/>
      <c r="AP70" s="37"/>
      <c r="AQ70" s="37"/>
      <c r="AR70" s="37"/>
      <c r="AS70" s="37"/>
      <c r="AT70" s="37"/>
      <c r="AU70" s="37"/>
      <c r="AV70" s="37"/>
      <c r="AW70" s="37"/>
      <c r="AX70" s="37"/>
      <c r="AY70" s="37"/>
      <c r="AZ70" s="37"/>
      <c r="BA70" s="37"/>
      <c r="BB70" s="37"/>
      <c r="BC70" s="37"/>
      <c r="BD70" s="37"/>
      <c r="BE70" s="37"/>
    </row>
    <row r="71" spans="2:59" s="31" customFormat="1" ht="15.5" x14ac:dyDescent="0.3">
      <c r="C71" s="34"/>
      <c r="D71" s="84"/>
      <c r="G71" s="34"/>
      <c r="H71" s="84"/>
      <c r="J71" s="33"/>
      <c r="K71" s="34"/>
      <c r="L71" s="34"/>
      <c r="M71" s="84"/>
      <c r="N71" s="84"/>
      <c r="O71" s="256"/>
      <c r="Q71" s="35"/>
      <c r="R71" s="99"/>
      <c r="S71" s="36"/>
      <c r="T71" s="36"/>
      <c r="U71" s="36"/>
      <c r="V71" s="36"/>
      <c r="W71" s="36"/>
      <c r="X71" s="36"/>
      <c r="Y71" s="36"/>
      <c r="Z71" s="36"/>
      <c r="AA71" s="36"/>
      <c r="AB71" s="36"/>
      <c r="AC71" s="36"/>
      <c r="AD71" s="36"/>
      <c r="AE71" s="36"/>
      <c r="AF71" s="36"/>
      <c r="AG71" s="36"/>
      <c r="AH71" s="36"/>
      <c r="AI71" s="36"/>
      <c r="AJ71" s="36"/>
      <c r="AK71" s="36"/>
      <c r="AL71" s="36"/>
      <c r="AM71" s="36"/>
      <c r="AN71" s="37"/>
      <c r="AO71" s="37"/>
      <c r="AP71" s="37"/>
      <c r="AQ71" s="37"/>
      <c r="AR71" s="37"/>
      <c r="AS71" s="37"/>
      <c r="AT71" s="37"/>
      <c r="AU71" s="37"/>
      <c r="AV71" s="37"/>
      <c r="AW71" s="37"/>
      <c r="AX71" s="37"/>
      <c r="AY71" s="37"/>
      <c r="AZ71" s="37"/>
      <c r="BA71" s="37"/>
      <c r="BB71" s="37"/>
      <c r="BC71" s="37"/>
      <c r="BD71" s="37"/>
      <c r="BE71" s="37"/>
    </row>
    <row r="72" spans="2:59" s="31" customFormat="1" ht="46.5" x14ac:dyDescent="0.3">
      <c r="B72" s="78" t="s">
        <v>668</v>
      </c>
      <c r="C72" s="392" t="s">
        <v>6</v>
      </c>
      <c r="D72" s="394"/>
      <c r="E72" s="34"/>
      <c r="F72" s="58"/>
      <c r="G72" s="34"/>
      <c r="H72" s="84"/>
      <c r="J72" s="33"/>
      <c r="K72" s="34"/>
      <c r="L72" s="34"/>
      <c r="M72" s="84"/>
      <c r="N72" s="84"/>
      <c r="O72" s="256"/>
      <c r="Q72" s="35"/>
      <c r="R72" s="99"/>
      <c r="S72" s="36"/>
      <c r="T72" s="36"/>
      <c r="U72" s="36"/>
      <c r="V72" s="36"/>
      <c r="W72" s="36"/>
      <c r="X72" s="36"/>
      <c r="Y72" s="36"/>
      <c r="Z72" s="36"/>
      <c r="AA72" s="36"/>
      <c r="AB72" s="36"/>
      <c r="AC72" s="36"/>
      <c r="AD72" s="36"/>
      <c r="AE72" s="36"/>
      <c r="AF72" s="36"/>
      <c r="AG72" s="36"/>
      <c r="AH72" s="36"/>
      <c r="AI72" s="36"/>
      <c r="AJ72" s="36"/>
      <c r="AK72" s="36"/>
      <c r="AL72" s="36"/>
      <c r="AM72" s="36"/>
      <c r="AN72" s="37"/>
      <c r="AO72" s="37"/>
      <c r="AP72" s="37"/>
      <c r="AQ72" s="37"/>
      <c r="AR72" s="37"/>
      <c r="AS72" s="37"/>
      <c r="AT72" s="37"/>
      <c r="AU72" s="37"/>
      <c r="AV72" s="37"/>
      <c r="AW72" s="37"/>
      <c r="AX72" s="37"/>
      <c r="AY72" s="37"/>
      <c r="AZ72" s="37"/>
      <c r="BA72" s="37"/>
      <c r="BB72" s="37"/>
      <c r="BC72" s="37"/>
      <c r="BD72" s="37"/>
      <c r="BE72" s="37"/>
    </row>
    <row r="73" spans="2:59" s="31" customFormat="1" ht="15.5" x14ac:dyDescent="0.3">
      <c r="C73" s="34"/>
      <c r="D73" s="84"/>
      <c r="G73" s="34"/>
      <c r="H73" s="84"/>
      <c r="J73" s="33"/>
      <c r="K73" s="34"/>
      <c r="L73" s="34"/>
      <c r="M73" s="84"/>
      <c r="N73" s="84"/>
      <c r="O73" s="255"/>
      <c r="Q73" s="35"/>
      <c r="R73" s="99"/>
      <c r="S73" s="36"/>
      <c r="T73" s="36"/>
      <c r="U73" s="36"/>
      <c r="V73" s="36"/>
      <c r="W73" s="36"/>
      <c r="X73" s="36"/>
      <c r="Y73" s="36"/>
      <c r="Z73" s="36"/>
      <c r="AA73" s="36"/>
      <c r="AB73" s="36"/>
      <c r="AC73" s="36"/>
      <c r="AD73" s="36"/>
      <c r="AE73" s="36"/>
      <c r="AF73" s="36"/>
      <c r="AG73" s="36"/>
      <c r="AH73" s="36"/>
      <c r="AI73" s="36"/>
      <c r="AJ73" s="36"/>
      <c r="AK73" s="36"/>
      <c r="AL73" s="36"/>
      <c r="AM73" s="36"/>
      <c r="AN73" s="37"/>
      <c r="AO73" s="37"/>
      <c r="AP73" s="37"/>
      <c r="AQ73" s="37"/>
      <c r="AR73" s="37"/>
      <c r="AS73" s="37"/>
      <c r="AT73" s="37"/>
      <c r="AU73" s="37"/>
      <c r="AV73" s="37"/>
      <c r="AW73" s="37"/>
      <c r="AX73" s="37"/>
      <c r="AY73" s="37"/>
      <c r="AZ73" s="37"/>
      <c r="BA73" s="37"/>
      <c r="BB73" s="37"/>
      <c r="BC73" s="37"/>
      <c r="BD73" s="37"/>
      <c r="BE73" s="37"/>
    </row>
    <row r="74" spans="2:59" s="307" customFormat="1" ht="18" x14ac:dyDescent="0.3">
      <c r="B74" s="295" t="s">
        <v>694</v>
      </c>
      <c r="C74" s="305"/>
      <c r="D74" s="306"/>
      <c r="G74" s="305"/>
      <c r="H74" s="306"/>
      <c r="J74" s="308"/>
      <c r="O74" s="317"/>
      <c r="P74" s="318"/>
      <c r="R74" s="305"/>
      <c r="T74" s="312"/>
      <c r="U74" s="311"/>
      <c r="V74" s="311"/>
      <c r="W74" s="311"/>
      <c r="X74" s="311"/>
      <c r="Y74" s="311"/>
      <c r="Z74" s="311"/>
      <c r="AA74" s="311"/>
      <c r="AB74" s="311"/>
      <c r="AC74" s="311"/>
      <c r="AD74" s="311"/>
      <c r="AE74" s="311"/>
      <c r="AF74" s="311"/>
      <c r="AG74" s="311"/>
      <c r="AH74" s="311"/>
      <c r="AI74" s="311"/>
      <c r="AJ74" s="311"/>
      <c r="AK74" s="311"/>
      <c r="AL74" s="311"/>
      <c r="AM74" s="311"/>
      <c r="AN74" s="311"/>
      <c r="AO74" s="311"/>
      <c r="AP74" s="312"/>
      <c r="AQ74" s="312"/>
      <c r="AR74" s="312"/>
      <c r="AS74" s="312"/>
      <c r="AT74" s="312"/>
      <c r="AU74" s="312"/>
      <c r="AV74" s="312"/>
      <c r="AW74" s="312"/>
      <c r="AX74" s="312"/>
      <c r="AY74" s="312"/>
      <c r="AZ74" s="312"/>
      <c r="BA74" s="312"/>
      <c r="BB74" s="312"/>
      <c r="BC74" s="312"/>
      <c r="BD74" s="312"/>
      <c r="BE74" s="312"/>
      <c r="BF74" s="312"/>
      <c r="BG74" s="312"/>
    </row>
    <row r="75" spans="2:59" s="31" customFormat="1" ht="15.5" x14ac:dyDescent="0.3">
      <c r="B75" s="9"/>
      <c r="C75" s="34"/>
      <c r="D75" s="84"/>
      <c r="G75" s="34"/>
      <c r="H75" s="84"/>
      <c r="J75" s="33"/>
      <c r="O75" s="255" t="s">
        <v>644</v>
      </c>
      <c r="P75" s="69"/>
      <c r="Q75" s="108"/>
      <c r="R75" s="61" t="s">
        <v>350</v>
      </c>
      <c r="S75" s="108"/>
      <c r="T75" s="37"/>
      <c r="U75" s="36"/>
      <c r="V75" s="36"/>
      <c r="W75" s="36"/>
      <c r="X75" s="36"/>
      <c r="Y75" s="36"/>
      <c r="Z75" s="36"/>
      <c r="AA75" s="36"/>
      <c r="AB75" s="36"/>
      <c r="AC75" s="36"/>
      <c r="AD75" s="36"/>
      <c r="AE75" s="36"/>
      <c r="AF75" s="36"/>
      <c r="AG75" s="36"/>
      <c r="AH75" s="36"/>
      <c r="AI75" s="36"/>
      <c r="AJ75" s="36"/>
      <c r="AK75" s="36"/>
      <c r="AL75" s="36"/>
      <c r="AM75" s="36"/>
      <c r="AN75" s="36"/>
      <c r="AO75" s="36"/>
      <c r="AP75" s="37"/>
      <c r="AQ75" s="37"/>
      <c r="AR75" s="37"/>
      <c r="AS75" s="37"/>
      <c r="AT75" s="37"/>
      <c r="AU75" s="37"/>
      <c r="AV75" s="37"/>
      <c r="AW75" s="37"/>
      <c r="AX75" s="37"/>
      <c r="AY75" s="37"/>
      <c r="AZ75" s="37"/>
      <c r="BA75" s="37"/>
      <c r="BB75" s="37"/>
      <c r="BC75" s="37"/>
      <c r="BD75" s="37"/>
      <c r="BE75" s="37"/>
      <c r="BF75" s="37"/>
      <c r="BG75" s="37"/>
    </row>
    <row r="76" spans="2:59" s="31" customFormat="1" ht="31" x14ac:dyDescent="0.3">
      <c r="B76" s="78" t="s">
        <v>552</v>
      </c>
      <c r="C76" s="160"/>
      <c r="D76" s="84" t="s">
        <v>175</v>
      </c>
      <c r="G76" s="34"/>
      <c r="H76" s="84"/>
      <c r="J76" s="33" t="s">
        <v>565</v>
      </c>
      <c r="K76" s="96">
        <f>IF(ISNUMBER(L76),L76,Muut!$H$28*IF(OR(C33=Pudotusvalikot!$V$3,C33=Pudotusvalikot!$V$4),Muut!$E$38,IF(C33=Pudotusvalikot!$V$5,Muut!$E$39,IF(C33=Pudotusvalikot!$V$6,Muut!$E$40,Muut!$E$41))))</f>
        <v>0.22753333333333334</v>
      </c>
      <c r="L76" s="63"/>
      <c r="M76" s="41" t="s">
        <v>226</v>
      </c>
      <c r="N76" s="41"/>
      <c r="O76" s="256"/>
      <c r="Q76" s="35"/>
      <c r="R76" s="109" t="str">
        <f>IF(AND(ISNUMBER(K76),ISNUMBER(C76)),K76*C76,"")</f>
        <v/>
      </c>
      <c r="S76" s="102" t="s">
        <v>172</v>
      </c>
      <c r="T76" s="61"/>
      <c r="U76" s="61"/>
      <c r="V76" s="61"/>
      <c r="W76" s="36"/>
      <c r="X76" s="36"/>
      <c r="Y76" s="36"/>
      <c r="Z76" s="36"/>
      <c r="AA76" s="36"/>
      <c r="AB76" s="36"/>
      <c r="AC76" s="36"/>
      <c r="AD76" s="36"/>
      <c r="AE76" s="36"/>
      <c r="AF76" s="36"/>
      <c r="AG76" s="36"/>
      <c r="AH76" s="36"/>
      <c r="AI76" s="36"/>
      <c r="AJ76" s="36"/>
      <c r="AK76" s="36"/>
      <c r="AL76" s="36"/>
      <c r="AM76" s="36"/>
      <c r="AN76" s="37"/>
      <c r="AO76" s="37"/>
      <c r="AP76" s="37"/>
      <c r="AQ76" s="37"/>
      <c r="AR76" s="37"/>
      <c r="AS76" s="37"/>
      <c r="AT76" s="37"/>
      <c r="AU76" s="37"/>
      <c r="AV76" s="37"/>
      <c r="AW76" s="37"/>
      <c r="AX76" s="37"/>
      <c r="AY76" s="37"/>
      <c r="AZ76" s="37"/>
      <c r="BA76" s="37"/>
      <c r="BB76" s="37"/>
      <c r="BC76" s="37"/>
      <c r="BD76" s="37"/>
      <c r="BE76" s="37"/>
    </row>
    <row r="77" spans="2:59" s="31" customFormat="1" ht="15.5" x14ac:dyDescent="0.3">
      <c r="B77" s="170" t="s">
        <v>509</v>
      </c>
      <c r="C77" s="160" t="s">
        <v>242</v>
      </c>
      <c r="D77" s="34"/>
      <c r="E77" s="34"/>
      <c r="F77" s="34"/>
      <c r="G77" s="34"/>
      <c r="H77" s="59"/>
      <c r="J77" s="173"/>
      <c r="K77" s="173"/>
      <c r="L77" s="173"/>
      <c r="M77" s="41"/>
      <c r="N77" s="41"/>
      <c r="O77" s="256"/>
      <c r="Q77" s="47"/>
      <c r="R77" s="61"/>
      <c r="S77" s="102"/>
      <c r="T77" s="36"/>
      <c r="U77" s="36"/>
      <c r="V77" s="181"/>
      <c r="W77" s="181"/>
      <c r="X77" s="61"/>
      <c r="Y77" s="36"/>
      <c r="Z77" s="61"/>
      <c r="AA77" s="182"/>
      <c r="AB77" s="61"/>
      <c r="AC77" s="61"/>
      <c r="AD77" s="61"/>
      <c r="AE77" s="61"/>
      <c r="AF77" s="182"/>
      <c r="AG77" s="61"/>
      <c r="AH77" s="36"/>
      <c r="AI77" s="36"/>
      <c r="AJ77" s="36"/>
      <c r="AK77" s="108"/>
      <c r="AL77" s="36"/>
      <c r="AM77" s="36"/>
      <c r="AN77" s="37"/>
      <c r="AO77" s="37"/>
      <c r="AP77" s="37"/>
      <c r="AQ77" s="37"/>
      <c r="AR77" s="37"/>
      <c r="AS77" s="37"/>
      <c r="AT77" s="37"/>
      <c r="AU77" s="37"/>
      <c r="AV77" s="37"/>
      <c r="AW77" s="37"/>
      <c r="AX77" s="37"/>
      <c r="AY77" s="37"/>
      <c r="AZ77" s="37"/>
      <c r="BA77" s="37"/>
      <c r="BB77" s="37"/>
      <c r="BC77" s="37"/>
      <c r="BD77" s="37"/>
      <c r="BE77" s="37"/>
    </row>
    <row r="78" spans="2:59" s="31" customFormat="1" ht="46.5" x14ac:dyDescent="0.3">
      <c r="B78" s="78" t="s">
        <v>527</v>
      </c>
      <c r="C78" s="160"/>
      <c r="D78" s="84" t="s">
        <v>175</v>
      </c>
      <c r="G78" s="34"/>
      <c r="H78" s="84"/>
      <c r="J78" s="33" t="s">
        <v>522</v>
      </c>
      <c r="K78" s="96">
        <f>IF(ISNUMBER(L78),L78,Muut!$H$29)</f>
        <v>9.4500000000000011</v>
      </c>
      <c r="L78" s="185"/>
      <c r="M78" s="41" t="s">
        <v>226</v>
      </c>
      <c r="N78" s="41"/>
      <c r="O78" s="256"/>
      <c r="Q78" s="35"/>
      <c r="R78" s="109" t="str">
        <f>IF(AND(ISNUMBER(K78),ISNUMBER(C78)),K78*C78,"")</f>
        <v/>
      </c>
      <c r="S78" s="102" t="s">
        <v>172</v>
      </c>
      <c r="T78" s="36"/>
      <c r="U78" s="36"/>
      <c r="V78" s="36"/>
      <c r="W78" s="36"/>
      <c r="X78" s="36"/>
      <c r="Y78" s="36"/>
      <c r="Z78" s="36"/>
      <c r="AA78" s="36"/>
      <c r="AB78" s="36"/>
      <c r="AC78" s="36"/>
      <c r="AD78" s="36"/>
      <c r="AE78" s="36"/>
      <c r="AF78" s="36"/>
      <c r="AG78" s="36"/>
      <c r="AH78" s="36"/>
      <c r="AI78" s="36"/>
      <c r="AJ78" s="36"/>
      <c r="AK78" s="36"/>
      <c r="AL78" s="36"/>
      <c r="AM78" s="36"/>
      <c r="AN78" s="37"/>
      <c r="AO78" s="37"/>
      <c r="AP78" s="37"/>
      <c r="AQ78" s="37"/>
      <c r="AR78" s="37"/>
      <c r="AS78" s="37"/>
      <c r="AT78" s="37"/>
      <c r="AU78" s="37"/>
      <c r="AV78" s="37"/>
      <c r="AW78" s="37"/>
      <c r="AX78" s="37"/>
      <c r="AY78" s="37"/>
      <c r="AZ78" s="37"/>
      <c r="BA78" s="37"/>
      <c r="BB78" s="37"/>
      <c r="BC78" s="37"/>
      <c r="BD78" s="37"/>
      <c r="BE78" s="37"/>
    </row>
    <row r="79" spans="2:59" s="31" customFormat="1" ht="15.5" x14ac:dyDescent="0.3">
      <c r="B79" s="170" t="s">
        <v>572</v>
      </c>
      <c r="C79" s="160"/>
      <c r="D79" s="84" t="s">
        <v>8</v>
      </c>
      <c r="E79" s="34"/>
      <c r="F79" s="34"/>
      <c r="G79" s="34"/>
      <c r="H79" s="84"/>
      <c r="J79" s="33" t="s">
        <v>523</v>
      </c>
      <c r="K79" s="96">
        <f>IF(ISNUMBER(L79),L79,Muut!$H$31)</f>
        <v>9.4500000000000011</v>
      </c>
      <c r="L79" s="185"/>
      <c r="M79" s="41" t="s">
        <v>226</v>
      </c>
      <c r="N79" s="41"/>
      <c r="O79" s="256"/>
      <c r="Q79" s="35"/>
      <c r="R79" s="109" t="str">
        <f>IF(AND(ISNUMBER(K79),ISNUMBER(C78)),-K79*C78,"")</f>
        <v/>
      </c>
      <c r="S79" s="102" t="s">
        <v>172</v>
      </c>
      <c r="T79" s="102" t="s">
        <v>524</v>
      </c>
      <c r="U79" s="36"/>
      <c r="V79" s="36"/>
      <c r="W79" s="36"/>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row>
    <row r="80" spans="2:59" s="31" customFormat="1" ht="15.5" x14ac:dyDescent="0.3">
      <c r="B80" s="75"/>
      <c r="C80" s="34"/>
      <c r="D80" s="84"/>
      <c r="G80" s="34"/>
      <c r="H80" s="84"/>
      <c r="J80" s="33"/>
      <c r="O80" s="171"/>
      <c r="P80" s="69"/>
      <c r="Q80" s="108"/>
      <c r="R80" s="98"/>
      <c r="S80" s="108"/>
      <c r="T80" s="37"/>
      <c r="U80" s="36"/>
      <c r="V80" s="36"/>
      <c r="W80" s="36"/>
      <c r="X80" s="36"/>
      <c r="Y80" s="36"/>
      <c r="Z80" s="36"/>
      <c r="AA80" s="36"/>
      <c r="AB80" s="36"/>
      <c r="AC80" s="36"/>
      <c r="AD80" s="36"/>
      <c r="AE80" s="36"/>
      <c r="AF80" s="36"/>
      <c r="AG80" s="36"/>
      <c r="AH80" s="36"/>
      <c r="AI80" s="36"/>
      <c r="AJ80" s="36"/>
      <c r="AK80" s="36"/>
      <c r="AL80" s="36"/>
      <c r="AM80" s="36"/>
      <c r="AN80" s="36"/>
      <c r="AO80" s="36"/>
      <c r="AP80" s="37"/>
      <c r="AQ80" s="37"/>
      <c r="AR80" s="37"/>
      <c r="AS80" s="37"/>
      <c r="AT80" s="37"/>
      <c r="AU80" s="37"/>
      <c r="AV80" s="37"/>
      <c r="AW80" s="37"/>
      <c r="AX80" s="37"/>
      <c r="AY80" s="37"/>
      <c r="AZ80" s="37"/>
      <c r="BA80" s="37"/>
      <c r="BB80" s="37"/>
      <c r="BC80" s="37"/>
      <c r="BD80" s="37"/>
      <c r="BE80" s="37"/>
      <c r="BF80" s="37"/>
      <c r="BG80" s="37"/>
    </row>
    <row r="81" spans="2:59" s="298" customFormat="1" ht="18" x14ac:dyDescent="0.3">
      <c r="B81" s="295" t="s">
        <v>467</v>
      </c>
      <c r="C81" s="296"/>
      <c r="D81" s="297"/>
      <c r="G81" s="299"/>
      <c r="H81" s="297"/>
      <c r="J81" s="315"/>
      <c r="K81" s="299"/>
      <c r="L81" s="299"/>
      <c r="M81" s="297"/>
      <c r="N81" s="297"/>
      <c r="O81" s="300"/>
      <c r="P81" s="316"/>
      <c r="Q81" s="304"/>
      <c r="R81" s="302" t="str">
        <f>IF(OR(ISNUMBER(#REF!),ISNUMBER(#REF!),ISNUMBER(#REF!),ISNUMBER(#REF!),ISNUMBER(#REF!)),SUM(#REF!,#REF!,#REF!,#REF!,#REF!),"")</f>
        <v/>
      </c>
      <c r="S81" s="303"/>
      <c r="T81" s="303"/>
      <c r="U81" s="303"/>
      <c r="V81" s="303"/>
      <c r="W81" s="303"/>
      <c r="X81" s="303"/>
      <c r="Y81" s="303"/>
      <c r="Z81" s="303"/>
      <c r="AA81" s="303"/>
      <c r="AB81" s="303"/>
      <c r="AC81" s="303"/>
      <c r="AD81" s="303"/>
      <c r="AE81" s="303"/>
      <c r="AF81" s="303"/>
      <c r="AG81" s="303"/>
      <c r="AH81" s="303"/>
      <c r="AI81" s="303"/>
      <c r="AJ81" s="303"/>
      <c r="AK81" s="303"/>
      <c r="AL81" s="303"/>
      <c r="AM81" s="303"/>
      <c r="AN81" s="304"/>
      <c r="AO81" s="304"/>
      <c r="AP81" s="304"/>
      <c r="AQ81" s="304"/>
      <c r="AR81" s="304"/>
      <c r="AS81" s="304"/>
      <c r="AT81" s="304"/>
      <c r="AU81" s="304"/>
      <c r="AV81" s="304"/>
      <c r="AW81" s="304"/>
      <c r="AX81" s="304"/>
      <c r="AY81" s="304"/>
      <c r="AZ81" s="304"/>
      <c r="BA81" s="304"/>
      <c r="BB81" s="304"/>
      <c r="BC81" s="304"/>
      <c r="BD81" s="304"/>
      <c r="BE81" s="304"/>
    </row>
    <row r="82" spans="2:59" s="31" customFormat="1" ht="15.5" x14ac:dyDescent="0.3">
      <c r="B82" s="9"/>
      <c r="C82" s="34" t="s">
        <v>50</v>
      </c>
      <c r="D82" s="84"/>
      <c r="G82" s="38" t="s">
        <v>199</v>
      </c>
      <c r="H82" s="84"/>
      <c r="J82" s="33"/>
      <c r="K82" s="38" t="s">
        <v>329</v>
      </c>
      <c r="L82" s="38" t="s">
        <v>201</v>
      </c>
      <c r="M82" s="84"/>
      <c r="N82" s="84"/>
      <c r="O82" s="255" t="s">
        <v>644</v>
      </c>
      <c r="P82" s="38"/>
      <c r="Q82" s="35"/>
      <c r="R82" s="36" t="s">
        <v>350</v>
      </c>
      <c r="S82" s="36"/>
      <c r="T82" s="36" t="s">
        <v>378</v>
      </c>
      <c r="U82" s="36" t="s">
        <v>164</v>
      </c>
      <c r="V82" s="36" t="s">
        <v>355</v>
      </c>
      <c r="W82" s="108"/>
      <c r="X82" s="36"/>
      <c r="Y82" s="36"/>
      <c r="Z82" s="36"/>
      <c r="AA82" s="36"/>
      <c r="AB82" s="36"/>
      <c r="AC82" s="36"/>
      <c r="AD82" s="36"/>
      <c r="AE82" s="36"/>
      <c r="AF82" s="36"/>
      <c r="AG82" s="36"/>
      <c r="AH82" s="36"/>
      <c r="AI82" s="36"/>
      <c r="AJ82" s="36"/>
      <c r="AK82" s="36"/>
      <c r="AL82" s="36"/>
      <c r="AM82" s="36"/>
      <c r="AN82" s="37"/>
      <c r="AO82" s="37"/>
      <c r="AP82" s="37"/>
      <c r="AQ82" s="37"/>
      <c r="AR82" s="37"/>
      <c r="AS82" s="37"/>
      <c r="AT82" s="37"/>
      <c r="AU82" s="37"/>
      <c r="AV82" s="37"/>
      <c r="AW82" s="37"/>
      <c r="AX82" s="37"/>
      <c r="AY82" s="37"/>
      <c r="AZ82" s="37"/>
      <c r="BA82" s="37"/>
      <c r="BB82" s="37"/>
      <c r="BC82" s="37"/>
      <c r="BD82" s="37"/>
      <c r="BE82" s="37"/>
    </row>
    <row r="83" spans="2:59" s="31" customFormat="1" ht="15.5" x14ac:dyDescent="0.3">
      <c r="B83" s="163" t="s">
        <v>462</v>
      </c>
      <c r="C83" s="160"/>
      <c r="D83" s="92" t="s">
        <v>435</v>
      </c>
      <c r="E83" s="59"/>
      <c r="G83" s="66">
        <v>1.8</v>
      </c>
      <c r="H83" s="84" t="str">
        <f>IF(D83="t","t/t","t/m3")</f>
        <v>t/m3</v>
      </c>
      <c r="J83" s="33" t="s">
        <v>466</v>
      </c>
      <c r="K83" s="96">
        <f>IF(ISNUMBER(L83),L83,VLOOKUP(B83,Materiaalit!$C$10:$I$21,5,FALSE))</f>
        <v>6.0000000000000001E-3</v>
      </c>
      <c r="L83" s="40"/>
      <c r="M83" s="41" t="s">
        <v>468</v>
      </c>
      <c r="N83" s="41"/>
      <c r="O83" s="256"/>
      <c r="P83" s="41"/>
      <c r="Q83" s="52"/>
      <c r="R83" s="50" t="str">
        <f>IF(ISNUMBER(K83*V83*1000),K83*V83*1000,"")</f>
        <v/>
      </c>
      <c r="S83" s="102" t="s">
        <v>172</v>
      </c>
      <c r="T83" s="50" t="str">
        <f>IF(ISBLANK(C83),"",IF(D83="t",C83,C83*G83))</f>
        <v/>
      </c>
      <c r="U83" s="48">
        <f>VLOOKUP(B83,Materiaalit!$C$10:$I$21,7,FALSE)</f>
        <v>1.05</v>
      </c>
      <c r="V83" s="50" t="str">
        <f>IF(ISNUMBER(U83*T83),U83*T83,"")</f>
        <v/>
      </c>
      <c r="W83" s="108"/>
      <c r="X83" s="36"/>
      <c r="Y83" s="36"/>
      <c r="Z83" s="36"/>
      <c r="AA83" s="36"/>
      <c r="AB83" s="36"/>
      <c r="AC83" s="36"/>
      <c r="AD83" s="36"/>
      <c r="AE83" s="36"/>
      <c r="AF83" s="36"/>
      <c r="AG83" s="36"/>
      <c r="AH83" s="36"/>
      <c r="AI83" s="36"/>
      <c r="AJ83" s="36"/>
      <c r="AK83" s="36"/>
      <c r="AL83" s="36"/>
      <c r="AM83" s="36"/>
      <c r="AN83" s="37"/>
      <c r="AO83" s="37"/>
      <c r="AP83" s="37"/>
      <c r="AQ83" s="37"/>
      <c r="AR83" s="37"/>
      <c r="AS83" s="37"/>
      <c r="AT83" s="37"/>
      <c r="AU83" s="37"/>
      <c r="AV83" s="37"/>
      <c r="AW83" s="37"/>
      <c r="AX83" s="37"/>
      <c r="AY83" s="37"/>
      <c r="AZ83" s="37"/>
      <c r="BA83" s="37"/>
      <c r="BB83" s="37"/>
      <c r="BC83" s="37"/>
      <c r="BD83" s="37"/>
      <c r="BE83" s="37"/>
    </row>
    <row r="84" spans="2:59" s="31" customFormat="1" ht="15.5" x14ac:dyDescent="0.3">
      <c r="B84" s="163" t="s">
        <v>461</v>
      </c>
      <c r="C84" s="160"/>
      <c r="D84" s="89" t="s">
        <v>435</v>
      </c>
      <c r="E84" s="59"/>
      <c r="G84" s="67">
        <f>1/0.6</f>
        <v>1.6666666666666667</v>
      </c>
      <c r="H84" s="84" t="str">
        <f t="shared" ref="H84:H87" si="0">IF(D84="t","t/t","t/m3")</f>
        <v>t/m3</v>
      </c>
      <c r="J84" s="33" t="s">
        <v>466</v>
      </c>
      <c r="K84" s="96">
        <f>IF(ISNUMBER(L84),L84,VLOOKUP(B84,Materiaalit!$C$10:$I$21,5,FALSE))</f>
        <v>6.0000000000000001E-3</v>
      </c>
      <c r="L84" s="40"/>
      <c r="M84" s="41" t="s">
        <v>468</v>
      </c>
      <c r="N84" s="41"/>
      <c r="O84" s="256"/>
      <c r="P84" s="41"/>
      <c r="Q84" s="52"/>
      <c r="R84" s="50" t="str">
        <f>IF(ISNUMBER(K84*V84*1000),K84*V84*1000,"")</f>
        <v/>
      </c>
      <c r="S84" s="102" t="s">
        <v>172</v>
      </c>
      <c r="T84" s="50" t="str">
        <f>IF(ISBLANK(C84),"",IF(D84="t",C84,C84*G84))</f>
        <v/>
      </c>
      <c r="U84" s="48">
        <f>VLOOKUP(B84,Materiaalit!$C$10:$I$21,7,FALSE)</f>
        <v>1.05</v>
      </c>
      <c r="V84" s="50" t="str">
        <f>IF(ISNUMBER(U84*T84),U84*T84,"")</f>
        <v/>
      </c>
      <c r="W84" s="108"/>
      <c r="X84" s="36"/>
      <c r="Y84" s="36"/>
      <c r="Z84" s="36"/>
      <c r="AA84" s="36"/>
      <c r="AB84" s="36"/>
      <c r="AC84" s="36"/>
      <c r="AD84" s="36"/>
      <c r="AE84" s="36"/>
      <c r="AF84" s="36"/>
      <c r="AG84" s="36"/>
      <c r="AH84" s="36"/>
      <c r="AI84" s="36"/>
      <c r="AJ84" s="36"/>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5" x14ac:dyDescent="0.3">
      <c r="B85" s="163" t="s">
        <v>463</v>
      </c>
      <c r="C85" s="160"/>
      <c r="D85" s="93" t="s">
        <v>435</v>
      </c>
      <c r="E85" s="59"/>
      <c r="G85" s="67">
        <f>1/0.6</f>
        <v>1.6666666666666667</v>
      </c>
      <c r="H85" s="84" t="str">
        <f t="shared" si="0"/>
        <v>t/m3</v>
      </c>
      <c r="J85" s="33" t="s">
        <v>466</v>
      </c>
      <c r="K85" s="96">
        <f>IF(ISNUMBER(L85),L85,VLOOKUP(B85,Materiaalit!$C$10:$I$21,5,FALSE))</f>
        <v>4.0000000000000001E-3</v>
      </c>
      <c r="L85" s="40"/>
      <c r="M85" s="41" t="s">
        <v>468</v>
      </c>
      <c r="N85" s="41"/>
      <c r="O85" s="256"/>
      <c r="P85" s="41"/>
      <c r="Q85" s="52"/>
      <c r="R85" s="50" t="str">
        <f>IF(ISNUMBER(K85*V85*1000),K85*V85*1000,"")</f>
        <v/>
      </c>
      <c r="S85" s="102" t="s">
        <v>172</v>
      </c>
      <c r="T85" s="50" t="str">
        <f>IF(ISBLANK(C85),"",IF(D85="t",C85,C85*G85))</f>
        <v/>
      </c>
      <c r="U85" s="48">
        <f>VLOOKUP(B85,Materiaalit!$C$10:$I$21,7,FALSE)</f>
        <v>1.05</v>
      </c>
      <c r="V85" s="50" t="str">
        <f>IF(ISNUMBER(U85*T85),U85*T85,"")</f>
        <v/>
      </c>
      <c r="W85" s="108"/>
      <c r="X85" s="36"/>
      <c r="Y85" s="36"/>
      <c r="Z85" s="36"/>
      <c r="AA85" s="36"/>
      <c r="AB85" s="36"/>
      <c r="AC85" s="36"/>
      <c r="AD85" s="36"/>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5" x14ac:dyDescent="0.3">
      <c r="B86" s="163" t="s">
        <v>464</v>
      </c>
      <c r="C86" s="160"/>
      <c r="D86" s="89" t="s">
        <v>435</v>
      </c>
      <c r="E86" s="59"/>
      <c r="G86" s="67">
        <f>1/0.7</f>
        <v>1.4285714285714286</v>
      </c>
      <c r="H86" s="84" t="str">
        <f t="shared" si="0"/>
        <v>t/m3</v>
      </c>
      <c r="J86" s="33" t="s">
        <v>466</v>
      </c>
      <c r="K86" s="96">
        <f>IF(ISNUMBER(L86),L86,VLOOKUP(B86,Materiaalit!$C$10:$I$21,5,FALSE))</f>
        <v>4.0000000000000001E-3</v>
      </c>
      <c r="L86" s="40"/>
      <c r="M86" s="41" t="s">
        <v>468</v>
      </c>
      <c r="N86" s="41"/>
      <c r="O86" s="256"/>
      <c r="P86" s="41"/>
      <c r="Q86" s="52"/>
      <c r="R86" s="50" t="str">
        <f>IF(ISNUMBER(K86*V86*1000),K86*V86*1000,"")</f>
        <v/>
      </c>
      <c r="S86" s="102" t="s">
        <v>172</v>
      </c>
      <c r="T86" s="50" t="str">
        <f>IF(ISBLANK(C86),"",IF(D86="t",C86,C86*G86))</f>
        <v/>
      </c>
      <c r="U86" s="48">
        <f>VLOOKUP(B86,Materiaalit!$C$10:$I$21,7,FALSE)</f>
        <v>1.05</v>
      </c>
      <c r="V86" s="50" t="str">
        <f>IF(ISNUMBER(U86*T86),U86*T86,"")</f>
        <v/>
      </c>
      <c r="W86" s="108"/>
      <c r="X86" s="36"/>
      <c r="Y86" s="36"/>
      <c r="Z86" s="36"/>
      <c r="AA86" s="36"/>
      <c r="AB86" s="36"/>
      <c r="AC86" s="36"/>
      <c r="AD86" s="36"/>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5" x14ac:dyDescent="0.3">
      <c r="B87" s="172" t="s">
        <v>465</v>
      </c>
      <c r="C87" s="160"/>
      <c r="D87" s="89" t="s">
        <v>435</v>
      </c>
      <c r="E87" s="59"/>
      <c r="G87" s="160"/>
      <c r="H87" s="84" t="str">
        <f t="shared" si="0"/>
        <v>t/m3</v>
      </c>
      <c r="J87" s="33" t="s">
        <v>466</v>
      </c>
      <c r="K87" s="96">
        <f>IF(ISNUMBER(L87),L87,Materiaalit!$G$23)</f>
        <v>5.0000000000000001E-3</v>
      </c>
      <c r="L87" s="40"/>
      <c r="M87" s="41" t="s">
        <v>468</v>
      </c>
      <c r="N87" s="41"/>
      <c r="O87" s="256"/>
      <c r="P87" s="41"/>
      <c r="Q87" s="52"/>
      <c r="R87" s="50" t="str">
        <f>IF(ISNUMBER(K87*V87*1000),K87*V87*1000,"")</f>
        <v/>
      </c>
      <c r="S87" s="102" t="s">
        <v>172</v>
      </c>
      <c r="T87" s="50" t="str">
        <f>IF(ISBLANK(C87),"",IF(D87="t",C87,C87*G87))</f>
        <v/>
      </c>
      <c r="U87" s="48">
        <f>Materiaalit!$I$23</f>
        <v>1.05</v>
      </c>
      <c r="V87" s="50" t="str">
        <f>IF(ISNUMBER(U87*T87),U87*T87,"")</f>
        <v/>
      </c>
      <c r="W87" s="108"/>
      <c r="X87" s="36"/>
      <c r="Y87" s="36"/>
      <c r="Z87" s="36"/>
      <c r="AA87" s="36"/>
      <c r="AB87" s="36"/>
      <c r="AC87" s="36"/>
      <c r="AD87" s="36"/>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5" x14ac:dyDescent="0.3">
      <c r="B88" s="54"/>
      <c r="C88" s="34"/>
      <c r="D88" s="84"/>
      <c r="E88" s="59"/>
      <c r="G88" s="34"/>
      <c r="H88" s="84"/>
      <c r="J88" s="33"/>
      <c r="K88" s="42"/>
      <c r="L88" s="42"/>
      <c r="M88" s="41"/>
      <c r="N88" s="41"/>
      <c r="O88" s="256"/>
      <c r="P88" s="41"/>
      <c r="Q88" s="166"/>
      <c r="R88" s="167"/>
      <c r="S88" s="101"/>
      <c r="T88" s="167"/>
      <c r="U88" s="55"/>
      <c r="V88" s="167"/>
      <c r="X88" s="55"/>
      <c r="Y88" s="55"/>
      <c r="Z88" s="55"/>
      <c r="AA88" s="55"/>
      <c r="AB88" s="55"/>
      <c r="AC88" s="55"/>
      <c r="AD88" s="55"/>
      <c r="AE88" s="55"/>
      <c r="AF88" s="55"/>
      <c r="AG88" s="55"/>
      <c r="AH88" s="55"/>
      <c r="AI88" s="55"/>
      <c r="AJ88" s="55"/>
      <c r="AK88" s="55"/>
      <c r="AL88" s="55"/>
      <c r="AM88" s="55"/>
      <c r="AN88" s="56"/>
      <c r="AO88" s="56"/>
      <c r="AP88" s="56"/>
      <c r="AQ88" s="56"/>
      <c r="AR88" s="56"/>
      <c r="AS88" s="56"/>
      <c r="AT88" s="56"/>
      <c r="AU88" s="56"/>
      <c r="AV88" s="56"/>
      <c r="AW88" s="56"/>
      <c r="AX88" s="56"/>
      <c r="AY88" s="56"/>
      <c r="AZ88" s="56"/>
      <c r="BA88" s="56"/>
      <c r="BB88" s="56"/>
      <c r="BC88" s="56"/>
      <c r="BD88" s="56"/>
      <c r="BE88" s="56"/>
    </row>
    <row r="89" spans="2:59" s="31" customFormat="1" ht="15.5" x14ac:dyDescent="0.3">
      <c r="B89" s="177" t="s">
        <v>592</v>
      </c>
      <c r="C89" s="34"/>
      <c r="D89" s="84"/>
      <c r="E89" s="59"/>
      <c r="G89" s="34"/>
      <c r="H89" s="84"/>
      <c r="J89" s="33"/>
      <c r="K89" s="42"/>
      <c r="L89" s="42"/>
      <c r="M89" s="41"/>
      <c r="N89" s="41"/>
      <c r="O89" s="256"/>
      <c r="P89" s="41"/>
      <c r="Q89" s="166"/>
      <c r="R89" s="167"/>
      <c r="S89" s="101"/>
      <c r="T89" s="167"/>
      <c r="U89" s="55"/>
      <c r="V89" s="167"/>
      <c r="X89" s="55"/>
      <c r="Y89" s="55"/>
      <c r="Z89" s="55"/>
      <c r="AA89" s="55"/>
      <c r="AB89" s="55"/>
      <c r="AC89" s="55"/>
      <c r="AD89" s="55"/>
      <c r="AE89" s="55"/>
      <c r="AF89" s="55"/>
      <c r="AG89" s="55"/>
      <c r="AH89" s="55"/>
      <c r="AI89" s="55"/>
      <c r="AJ89" s="55"/>
      <c r="AK89" s="55"/>
      <c r="AL89" s="55"/>
      <c r="AM89" s="55"/>
      <c r="AN89" s="56"/>
      <c r="AO89" s="56"/>
      <c r="AP89" s="56"/>
      <c r="AQ89" s="56"/>
      <c r="AR89" s="56"/>
      <c r="AS89" s="56"/>
      <c r="AT89" s="56"/>
      <c r="AU89" s="56"/>
      <c r="AV89" s="56"/>
      <c r="AW89" s="56"/>
      <c r="AX89" s="56"/>
      <c r="AY89" s="56"/>
      <c r="AZ89" s="56"/>
      <c r="BA89" s="56"/>
      <c r="BB89" s="56"/>
      <c r="BC89" s="56"/>
      <c r="BD89" s="56"/>
      <c r="BE89" s="56"/>
    </row>
    <row r="90" spans="2:59" s="31" customFormat="1" ht="15.5" x14ac:dyDescent="0.3">
      <c r="C90" s="34"/>
      <c r="D90" s="84"/>
      <c r="G90" s="34"/>
      <c r="H90" s="84"/>
      <c r="J90" s="33"/>
      <c r="K90" s="34"/>
      <c r="L90" s="34"/>
      <c r="M90" s="84"/>
      <c r="N90" s="84"/>
      <c r="O90" s="255"/>
      <c r="Q90" s="35"/>
      <c r="R90" s="99"/>
      <c r="S90" s="36"/>
      <c r="T90" s="36"/>
      <c r="U90" s="36"/>
      <c r="V90" s="36"/>
      <c r="W90" s="36"/>
      <c r="X90" s="36"/>
      <c r="Y90" s="36"/>
      <c r="Z90" s="36"/>
      <c r="AA90" s="36"/>
      <c r="AB90" s="36"/>
      <c r="AC90" s="36"/>
      <c r="AD90" s="36"/>
      <c r="AE90" s="36"/>
      <c r="AF90" s="36"/>
      <c r="AG90" s="36"/>
      <c r="AH90" s="36"/>
      <c r="AI90" s="36"/>
      <c r="AJ90" s="36"/>
      <c r="AK90" s="36"/>
      <c r="AL90" s="36"/>
      <c r="AM90" s="36"/>
      <c r="AN90" s="37"/>
      <c r="AO90" s="37"/>
      <c r="AP90" s="37"/>
      <c r="AQ90" s="37"/>
      <c r="AR90" s="37"/>
      <c r="AS90" s="37"/>
      <c r="AT90" s="37"/>
      <c r="AU90" s="37"/>
      <c r="AV90" s="37"/>
      <c r="AW90" s="37"/>
      <c r="AX90" s="37"/>
      <c r="AY90" s="37"/>
      <c r="AZ90" s="37"/>
      <c r="BA90" s="37"/>
      <c r="BB90" s="37"/>
      <c r="BC90" s="37"/>
      <c r="BD90" s="37"/>
      <c r="BE90" s="37"/>
    </row>
    <row r="91" spans="2:59" s="298" customFormat="1" ht="18" x14ac:dyDescent="0.3">
      <c r="B91" s="295" t="s">
        <v>388</v>
      </c>
      <c r="C91" s="296"/>
      <c r="D91" s="297"/>
      <c r="E91" s="297"/>
      <c r="F91" s="297"/>
      <c r="G91" s="297"/>
      <c r="H91" s="297"/>
      <c r="I91" s="297"/>
      <c r="J91" s="297"/>
      <c r="K91" s="297"/>
      <c r="L91" s="297"/>
      <c r="M91" s="297"/>
      <c r="N91" s="297"/>
      <c r="O91" s="300"/>
      <c r="P91" s="314"/>
      <c r="Q91" s="297"/>
      <c r="R91" s="297"/>
      <c r="S91" s="297"/>
      <c r="T91" s="297"/>
      <c r="U91" s="297"/>
      <c r="V91" s="303"/>
      <c r="W91" s="303"/>
      <c r="X91" s="303"/>
      <c r="Y91" s="303"/>
      <c r="Z91" s="303"/>
      <c r="AA91" s="303"/>
      <c r="AB91" s="303"/>
      <c r="AC91" s="303"/>
      <c r="AD91" s="303"/>
      <c r="AE91" s="303"/>
      <c r="AF91" s="303"/>
      <c r="AG91" s="303"/>
      <c r="AH91" s="303"/>
      <c r="AI91" s="303"/>
      <c r="AJ91" s="303"/>
      <c r="AK91" s="303"/>
      <c r="AL91" s="303"/>
      <c r="AM91" s="303"/>
      <c r="AN91" s="304"/>
      <c r="AO91" s="304"/>
      <c r="AP91" s="304"/>
      <c r="AQ91" s="304"/>
      <c r="AR91" s="304"/>
      <c r="AS91" s="304"/>
      <c r="AT91" s="304"/>
      <c r="AU91" s="304"/>
      <c r="AV91" s="304"/>
      <c r="AW91" s="304"/>
      <c r="AX91" s="304"/>
      <c r="AY91" s="304"/>
      <c r="AZ91" s="304"/>
      <c r="BA91" s="304"/>
      <c r="BB91" s="304"/>
      <c r="BC91" s="304"/>
      <c r="BD91" s="304"/>
      <c r="BE91" s="304"/>
    </row>
    <row r="92" spans="2:59" s="31" customFormat="1" ht="15.5" x14ac:dyDescent="0.3">
      <c r="B92" s="9"/>
      <c r="C92" s="34"/>
      <c r="D92" s="84"/>
      <c r="G92" s="38"/>
      <c r="H92" s="84"/>
      <c r="J92" s="33"/>
      <c r="K92" s="38"/>
      <c r="L92" s="38"/>
      <c r="M92" s="86"/>
      <c r="N92" s="86"/>
      <c r="O92" s="255" t="s">
        <v>644</v>
      </c>
      <c r="P92" s="148"/>
      <c r="Q92" s="37"/>
      <c r="R92" s="99"/>
      <c r="S92" s="36"/>
      <c r="T92" s="36"/>
      <c r="U92" s="36"/>
      <c r="V92" s="36"/>
      <c r="W92" s="36"/>
      <c r="X92" s="36"/>
      <c r="Y92" s="36"/>
      <c r="Z92" s="36"/>
      <c r="AA92" s="36"/>
      <c r="AB92" s="36"/>
      <c r="AC92" s="36"/>
      <c r="AD92" s="36"/>
      <c r="AE92" s="36"/>
      <c r="AF92" s="36"/>
      <c r="AG92" s="36"/>
      <c r="AH92" s="36"/>
      <c r="AI92" s="36"/>
      <c r="AJ92" s="36"/>
      <c r="AK92" s="36"/>
      <c r="AL92" s="36"/>
      <c r="AM92" s="36"/>
      <c r="AN92" s="37"/>
      <c r="AO92" s="37"/>
      <c r="AP92" s="37"/>
      <c r="AQ92" s="37"/>
      <c r="AR92" s="37"/>
      <c r="AS92" s="37"/>
      <c r="AT92" s="37"/>
      <c r="AU92" s="37"/>
      <c r="AV92" s="37"/>
      <c r="AW92" s="37"/>
      <c r="AX92" s="37"/>
      <c r="AY92" s="37"/>
      <c r="AZ92" s="37"/>
      <c r="BA92" s="37"/>
      <c r="BB92" s="37"/>
      <c r="BC92" s="37"/>
      <c r="BD92" s="37"/>
      <c r="BE92" s="37"/>
      <c r="BF92" s="108"/>
      <c r="BG92" s="108"/>
    </row>
    <row r="93" spans="2:59" s="31" customFormat="1" ht="15.5" x14ac:dyDescent="0.3">
      <c r="B93" s="95" t="str">
        <f>IF(LEFT(B83,5)="Louhe","Louhe",B83)</f>
        <v>Louhe</v>
      </c>
      <c r="C93" s="34"/>
      <c r="D93" s="84"/>
      <c r="G93" s="38" t="s">
        <v>199</v>
      </c>
      <c r="H93" s="84"/>
      <c r="I93" s="84"/>
      <c r="J93" s="33"/>
      <c r="K93" s="38" t="s">
        <v>329</v>
      </c>
      <c r="L93" s="38" t="s">
        <v>201</v>
      </c>
      <c r="M93" s="86"/>
      <c r="N93" s="86"/>
      <c r="O93" s="256"/>
      <c r="P93" s="148"/>
      <c r="Q93" s="37"/>
      <c r="R93" s="36" t="s">
        <v>350</v>
      </c>
      <c r="S93" s="36"/>
      <c r="T93" s="36" t="s">
        <v>446</v>
      </c>
      <c r="U93" s="36" t="s">
        <v>445</v>
      </c>
      <c r="V93" s="36" t="s">
        <v>443</v>
      </c>
      <c r="W93" s="36" t="s">
        <v>444</v>
      </c>
      <c r="X93" s="36" t="s">
        <v>447</v>
      </c>
      <c r="Y93" s="36" t="s">
        <v>449</v>
      </c>
      <c r="Z93" s="36" t="s">
        <v>448</v>
      </c>
      <c r="AA93" s="36" t="s">
        <v>202</v>
      </c>
      <c r="AB93" s="36" t="s">
        <v>380</v>
      </c>
      <c r="AC93" s="36" t="s">
        <v>450</v>
      </c>
      <c r="AD93" s="36" t="s">
        <v>381</v>
      </c>
      <c r="AE93" s="36" t="s">
        <v>451</v>
      </c>
      <c r="AF93" s="36" t="s">
        <v>452</v>
      </c>
      <c r="AG93" s="36" t="s">
        <v>638</v>
      </c>
      <c r="AH93" s="36" t="s">
        <v>206</v>
      </c>
      <c r="AI93" s="36" t="s">
        <v>278</v>
      </c>
      <c r="AJ93" s="36" t="s">
        <v>207</v>
      </c>
      <c r="AK93" s="108"/>
      <c r="AL93" s="36"/>
      <c r="AM93" s="36"/>
      <c r="AN93" s="37"/>
      <c r="AO93" s="37"/>
      <c r="AP93" s="37"/>
      <c r="AQ93" s="37"/>
      <c r="AR93" s="37"/>
      <c r="AS93" s="37"/>
      <c r="AT93" s="37"/>
      <c r="AU93" s="37"/>
      <c r="AV93" s="37"/>
      <c r="AW93" s="37"/>
      <c r="AX93" s="37"/>
      <c r="AY93" s="37"/>
      <c r="AZ93" s="37"/>
      <c r="BA93" s="37"/>
      <c r="BB93" s="37"/>
      <c r="BC93" s="37"/>
      <c r="BD93" s="37"/>
      <c r="BE93" s="37"/>
      <c r="BF93" s="108"/>
      <c r="BG93" s="108"/>
    </row>
    <row r="94" spans="2:59" s="31" customFormat="1" ht="46.5" x14ac:dyDescent="0.3">
      <c r="B94" s="45" t="s">
        <v>526</v>
      </c>
      <c r="C94" s="175" t="str">
        <f>IF(ISNUMBER(C83),C83,"")</f>
        <v/>
      </c>
      <c r="D94" s="113" t="str">
        <f>D83</f>
        <v>m3rtr</v>
      </c>
      <c r="G94" s="367">
        <f>IF(ISNUMBER(G83),G83,"")</f>
        <v>1.8</v>
      </c>
      <c r="H94" s="84" t="str">
        <f>IF(D94="t","t/t","t/m3")</f>
        <v>t/m3</v>
      </c>
      <c r="I94" s="84"/>
      <c r="J94" s="173" t="s">
        <v>441</v>
      </c>
      <c r="K94" s="96">
        <f>IF(ISNUMBER(L94),L94,IF(OR(C95=Pudotusvalikot!$D$14,C95=Pudotusvalikot!$D$15),Kalusto!$G$96,VLOOKUP(C95,Kalusto!$C$44:$G$83,5,FALSE))*IF(OR(C96=Pudotusvalikot!$V$3,C96=Pudotusvalikot!$V$4),Muut!$E$38,IF(C96=Pudotusvalikot!$V$5,Muut!$E$39,IF(C96=Pudotusvalikot!$V$6,Muut!$E$40,Muut!$E$41))))</f>
        <v>6.1090000000000005E-2</v>
      </c>
      <c r="L94" s="40"/>
      <c r="M94" s="41" t="s">
        <v>200</v>
      </c>
      <c r="N94" s="41"/>
      <c r="O94" s="256"/>
      <c r="P94" s="149"/>
      <c r="Q94" s="104"/>
      <c r="R94" s="50" t="str">
        <f ca="1">IF(AND(NOT(ISNUMBER(AB94)),NOT(ISNUMBER(AG94))),"",IF(ISNUMBER(AB94),AB94,0)+IF(ISNUMBER(AG94),AG94,0))</f>
        <v/>
      </c>
      <c r="S94" s="102" t="s">
        <v>172</v>
      </c>
      <c r="T94" s="48" t="str">
        <f>IF(ISNUMBER(L94),"Kohdetieto",IF(OR(C95=Pudotusvalikot!$D$14,C95=Pudotusvalikot!$D$15),Kalusto!$I$96,VLOOKUP(C95,Kalusto!$C$44:$L$83,7,FALSE)))</f>
        <v>Maansiirtoauto</v>
      </c>
      <c r="U94" s="48">
        <f>IF(ISNUMBER(L94),"Kohdetieto",IF(OR(C95=Pudotusvalikot!$D$14,C95=Pudotusvalikot!$D$15),Kalusto!$J$96,VLOOKUP(C95,Kalusto!$C$44:$L$83,8,FALSE)))</f>
        <v>32</v>
      </c>
      <c r="V94" s="49">
        <f>IF(ISNUMBER(L94),"Kohdetieto",IF(OR(C95=Pudotusvalikot!$D$14,C95=Pudotusvalikot!$D$15),Kalusto!$K$96,VLOOKUP(C95,Kalusto!$C$44:$L$83,9,FALSE)))</f>
        <v>0.8</v>
      </c>
      <c r="W94" s="49" t="str">
        <f>IF(ISNUMBER(L94),"Kohdetieto",IF(OR(C95=Pudotusvalikot!$D$14,C95=Pudotusvalikot!$D$15),Kalusto!$L$96,VLOOKUP(C95,Kalusto!$C$44:$L$83,10,FALSE)))</f>
        <v>maantieajo</v>
      </c>
      <c r="X94" s="50" t="str">
        <f>IF(ISBLANK(C94),"",IF(D94="t",C94,IF(ISNUMBER(C94*G94),C94*G94,"")))</f>
        <v/>
      </c>
      <c r="Y94" s="48" t="str">
        <f>IF(ISNUMBER(C97),C97,"")</f>
        <v/>
      </c>
      <c r="Z94" s="50" t="str">
        <f>IF(ISNUMBER(X94/(U94*V94)*Y94),X94/(U94*V94)*Y94,"")</f>
        <v/>
      </c>
      <c r="AA94" s="51">
        <f>IF(ISNUMBER(L94),L94,K94)</f>
        <v>6.1090000000000005E-2</v>
      </c>
      <c r="AB94" s="50" t="str">
        <f>IF(ISNUMBER(Y94*X94*K94),Y94*X94*K94,"")</f>
        <v/>
      </c>
      <c r="AC94" s="50" t="str">
        <f>IF(C119="Kyllä",Y94,"")</f>
        <v/>
      </c>
      <c r="AD94" s="50" t="str">
        <f>IF(C119="Kyllä",IF(ISNUMBER(X94/(U94*V94)),X94/(U94*V94),""),"")</f>
        <v/>
      </c>
      <c r="AE94" s="50" t="str">
        <f>IF(ISNUMBER(AD94*AC94),AD94*AC94,"")</f>
        <v/>
      </c>
      <c r="AF94" s="51">
        <f ca="1">IF(ISNUMBER(L95),L95,K95)</f>
        <v>0.71940999999999999</v>
      </c>
      <c r="AG94" s="50" t="str">
        <f ca="1">IF(ISNUMBER(AC94*AD94*K95),AC94*AD94*K95,"")</f>
        <v/>
      </c>
      <c r="AH94" s="48">
        <f>IF(T94="Jakelukuorma-auto",0,IF(T94="Maansiirtoauto",4,IF(T94="Puoliperävaunu",6,8)))</f>
        <v>4</v>
      </c>
      <c r="AI94" s="48">
        <f>IF(AND(T94="Jakelukuorma-auto",U94=6),0,IF(AND(T94="Jakelukuorma-auto",U94=15),2,0))</f>
        <v>0</v>
      </c>
      <c r="AJ94" s="48">
        <f>IF(W94="maantieajo",0,1)</f>
        <v>0</v>
      </c>
      <c r="AK94" s="108"/>
      <c r="AL94" s="36"/>
      <c r="AM94" s="36"/>
      <c r="AN94" s="37"/>
      <c r="AO94" s="37"/>
      <c r="AP94" s="37"/>
      <c r="AQ94" s="37"/>
      <c r="AR94" s="37"/>
      <c r="AS94" s="37"/>
      <c r="AT94" s="37"/>
      <c r="AU94" s="37"/>
      <c r="AV94" s="37"/>
      <c r="AW94" s="37"/>
      <c r="AX94" s="37"/>
      <c r="AY94" s="37"/>
      <c r="AZ94" s="37"/>
      <c r="BA94" s="37"/>
      <c r="BB94" s="37"/>
      <c r="BC94" s="37"/>
      <c r="BD94" s="37"/>
      <c r="BE94" s="37"/>
      <c r="BF94" s="108"/>
      <c r="BG94" s="108"/>
    </row>
    <row r="95" spans="2:59" s="31" customFormat="1" ht="46.5" x14ac:dyDescent="0.3">
      <c r="B95" s="170" t="s">
        <v>512</v>
      </c>
      <c r="C95" s="392" t="s">
        <v>84</v>
      </c>
      <c r="D95" s="393"/>
      <c r="E95" s="393"/>
      <c r="F95" s="393"/>
      <c r="G95" s="394"/>
      <c r="H95" s="84"/>
      <c r="I95" s="84"/>
      <c r="J95" s="33" t="s">
        <v>442</v>
      </c>
      <c r="K95" s="96">
        <f ca="1">IF(ISNUMBER(L95),L95,IF($C$140="Ei","",IF(AND($C$140="Kyllä",OR(C95=Pudotusvalikot!$D$14,C95=Pudotusvalikot!$D$15)),Kalusto!$G$97,OFFSET(Kalusto!$G$85,AH94+AJ94+AI94,0,1,1)))*IF(OR(C96=Pudotusvalikot!$V$3,C96=Pudotusvalikot!$V$4),Muut!$E$38,IF(C96=Pudotusvalikot!$V$5,Muut!$E$39,IF(C96=Pudotusvalikot!$V$6,Muut!$E$40,Muut!$E$41))))</f>
        <v>0.71940999999999999</v>
      </c>
      <c r="L95" s="40"/>
      <c r="M95" s="41" t="s">
        <v>204</v>
      </c>
      <c r="N95" s="41"/>
      <c r="O95" s="256"/>
      <c r="P95" s="147"/>
      <c r="Q95" s="105"/>
      <c r="R95" s="36"/>
      <c r="S95" s="36"/>
      <c r="T95" s="36"/>
      <c r="U95" s="36"/>
      <c r="V95" s="36"/>
      <c r="W95" s="36"/>
      <c r="X95" s="36"/>
      <c r="Y95" s="36"/>
      <c r="Z95" s="36"/>
      <c r="AA95" s="36"/>
      <c r="AB95" s="36"/>
      <c r="AC95" s="36"/>
      <c r="AD95" s="36"/>
      <c r="AE95" s="36"/>
      <c r="AF95" s="36"/>
      <c r="AG95" s="36"/>
      <c r="AH95" s="36"/>
      <c r="AI95" s="36"/>
      <c r="AJ95" s="36"/>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15.5" x14ac:dyDescent="0.3">
      <c r="B96" s="186" t="s">
        <v>506</v>
      </c>
      <c r="C96" s="160" t="s">
        <v>242</v>
      </c>
      <c r="D96" s="34"/>
      <c r="E96" s="34"/>
      <c r="F96" s="34"/>
      <c r="G96" s="34"/>
      <c r="H96" s="59"/>
      <c r="J96" s="173"/>
      <c r="K96" s="173"/>
      <c r="L96" s="173"/>
      <c r="M96" s="41"/>
      <c r="N96" s="41"/>
      <c r="O96" s="256"/>
      <c r="Q96" s="47"/>
      <c r="R96" s="102"/>
      <c r="S96" s="102"/>
      <c r="T96" s="36"/>
      <c r="U96" s="36"/>
      <c r="V96" s="181"/>
      <c r="W96" s="181"/>
      <c r="X96" s="61"/>
      <c r="Y96" s="36"/>
      <c r="Z96" s="61"/>
      <c r="AA96" s="182"/>
      <c r="AB96" s="61"/>
      <c r="AC96" s="61"/>
      <c r="AD96" s="61"/>
      <c r="AE96" s="61"/>
      <c r="AF96" s="182"/>
      <c r="AG96" s="61"/>
      <c r="AH96" s="36"/>
      <c r="AI96" s="36"/>
      <c r="AJ96" s="36"/>
      <c r="AK96" s="108"/>
      <c r="AL96" s="36"/>
      <c r="AM96" s="36"/>
      <c r="AN96" s="37"/>
      <c r="AO96" s="37"/>
      <c r="AP96" s="37"/>
      <c r="AQ96" s="37"/>
      <c r="AR96" s="37"/>
      <c r="AS96" s="37"/>
      <c r="AT96" s="37"/>
      <c r="AU96" s="37"/>
      <c r="AV96" s="37"/>
      <c r="AW96" s="37"/>
      <c r="AX96" s="37"/>
      <c r="AY96" s="37"/>
      <c r="AZ96" s="37"/>
      <c r="BA96" s="37"/>
      <c r="BB96" s="37"/>
      <c r="BC96" s="37"/>
      <c r="BD96" s="37"/>
      <c r="BE96" s="37"/>
    </row>
    <row r="97" spans="2:59" s="31" customFormat="1" ht="15.5" x14ac:dyDescent="0.3">
      <c r="B97" s="45" t="s">
        <v>525</v>
      </c>
      <c r="C97" s="162"/>
      <c r="D97" s="84" t="s">
        <v>5</v>
      </c>
      <c r="G97" s="34"/>
      <c r="H97" s="84"/>
      <c r="I97" s="84"/>
      <c r="J97" s="33"/>
      <c r="K97" s="34"/>
      <c r="L97" s="34"/>
      <c r="M97" s="84"/>
      <c r="N97" s="84"/>
      <c r="O97" s="257"/>
      <c r="P97" s="150"/>
      <c r="Q97" s="105"/>
      <c r="R97" s="36"/>
      <c r="S97" s="36"/>
      <c r="T97" s="36"/>
      <c r="U97" s="36"/>
      <c r="V97" s="36"/>
      <c r="W97" s="36"/>
      <c r="X97" s="36"/>
      <c r="Y97" s="36"/>
      <c r="Z97" s="36"/>
      <c r="AA97" s="36"/>
      <c r="AB97" s="36"/>
      <c r="AC97" s="36"/>
      <c r="AD97" s="36"/>
      <c r="AE97" s="36"/>
      <c r="AF97" s="36"/>
      <c r="AG97" s="36"/>
      <c r="AH97" s="36"/>
      <c r="AI97" s="36"/>
      <c r="AJ97" s="36"/>
      <c r="AK97" s="108"/>
      <c r="AL97" s="36"/>
      <c r="AM97" s="36"/>
      <c r="AN97" s="37"/>
      <c r="AO97" s="37"/>
      <c r="AP97" s="37"/>
      <c r="AQ97" s="37"/>
      <c r="AR97" s="37"/>
      <c r="AS97" s="37"/>
      <c r="AT97" s="37"/>
      <c r="AU97" s="37"/>
      <c r="AV97" s="37"/>
      <c r="AW97" s="37"/>
      <c r="AX97" s="37"/>
      <c r="AY97" s="37"/>
      <c r="AZ97" s="37"/>
      <c r="BA97" s="37"/>
      <c r="BB97" s="37"/>
      <c r="BC97" s="37"/>
      <c r="BD97" s="37"/>
      <c r="BE97" s="37"/>
      <c r="BF97" s="108"/>
      <c r="BG97" s="108"/>
    </row>
    <row r="98" spans="2:59" s="31" customFormat="1" ht="15.5" x14ac:dyDescent="0.3">
      <c r="B98" s="95" t="str">
        <f>IF(LEFT(B84,6)="Murske","Murske",B84)</f>
        <v>Murske</v>
      </c>
      <c r="C98" s="34"/>
      <c r="D98" s="84"/>
      <c r="G98" s="34"/>
      <c r="H98" s="84"/>
      <c r="I98" s="84"/>
      <c r="J98" s="33"/>
      <c r="K98" s="38" t="s">
        <v>329</v>
      </c>
      <c r="L98" s="38" t="s">
        <v>201</v>
      </c>
      <c r="M98" s="86"/>
      <c r="N98" s="86"/>
      <c r="O98" s="257"/>
      <c r="P98" s="148"/>
      <c r="Q98" s="37"/>
      <c r="R98" s="36" t="s">
        <v>350</v>
      </c>
      <c r="S98" s="36"/>
      <c r="T98" s="36" t="s">
        <v>446</v>
      </c>
      <c r="U98" s="36" t="s">
        <v>445</v>
      </c>
      <c r="V98" s="36" t="s">
        <v>443</v>
      </c>
      <c r="W98" s="36" t="s">
        <v>444</v>
      </c>
      <c r="X98" s="36" t="s">
        <v>447</v>
      </c>
      <c r="Y98" s="36" t="s">
        <v>449</v>
      </c>
      <c r="Z98" s="36" t="s">
        <v>448</v>
      </c>
      <c r="AA98" s="36" t="s">
        <v>202</v>
      </c>
      <c r="AB98" s="36" t="s">
        <v>380</v>
      </c>
      <c r="AC98" s="36" t="s">
        <v>450</v>
      </c>
      <c r="AD98" s="36" t="s">
        <v>381</v>
      </c>
      <c r="AE98" s="36" t="s">
        <v>451</v>
      </c>
      <c r="AF98" s="36" t="s">
        <v>452</v>
      </c>
      <c r="AG98" s="36" t="s">
        <v>638</v>
      </c>
      <c r="AH98" s="36" t="s">
        <v>206</v>
      </c>
      <c r="AI98" s="36" t="s">
        <v>278</v>
      </c>
      <c r="AJ98" s="36" t="s">
        <v>207</v>
      </c>
      <c r="AK98" s="108"/>
      <c r="AL98" s="36"/>
      <c r="AM98" s="36"/>
      <c r="AN98" s="37"/>
      <c r="AO98" s="37"/>
      <c r="AP98" s="37"/>
      <c r="AQ98" s="37"/>
      <c r="AR98" s="37"/>
      <c r="AS98" s="37"/>
      <c r="AT98" s="37"/>
      <c r="AU98" s="37"/>
      <c r="AV98" s="37"/>
      <c r="AW98" s="37"/>
      <c r="AX98" s="37"/>
      <c r="AY98" s="37"/>
      <c r="AZ98" s="37"/>
      <c r="BA98" s="37"/>
      <c r="BB98" s="37"/>
      <c r="BC98" s="37"/>
      <c r="BD98" s="37"/>
      <c r="BE98" s="37"/>
      <c r="BF98" s="108"/>
      <c r="BG98" s="108"/>
    </row>
    <row r="99" spans="2:59" s="31" customFormat="1" ht="46.5" x14ac:dyDescent="0.3">
      <c r="B99" s="45" t="s">
        <v>526</v>
      </c>
      <c r="C99" s="175" t="str">
        <f>IF(ISNUMBER(C84),C84,"")</f>
        <v/>
      </c>
      <c r="D99" s="113" t="str">
        <f>D84</f>
        <v>m3rtr</v>
      </c>
      <c r="G99" s="367">
        <f>IF(ISNUMBER(G84),G84,"")</f>
        <v>1.6666666666666667</v>
      </c>
      <c r="H99" s="84" t="str">
        <f>IF(D99="t","t/t","t/m3")</f>
        <v>t/m3</v>
      </c>
      <c r="I99" s="84"/>
      <c r="J99" s="173" t="s">
        <v>441</v>
      </c>
      <c r="K99" s="96">
        <f>IF(ISNUMBER(L99),L99,IF(OR(C100=Pudotusvalikot!$D$14,C100=Pudotusvalikot!$D$15),Kalusto!$G$96,VLOOKUP(C100,Kalusto!$C$44:$G$83,5,FALSE))*IF(OR(C101=Pudotusvalikot!$V$3,C101=Pudotusvalikot!$V$4),Muut!$E$38,IF(C101=Pudotusvalikot!$V$5,Muut!$E$39,IF(C101=Pudotusvalikot!$V$6,Muut!$E$40,Muut!$E$41))))</f>
        <v>6.1090000000000005E-2</v>
      </c>
      <c r="L99" s="40"/>
      <c r="M99" s="41" t="s">
        <v>200</v>
      </c>
      <c r="N99" s="41"/>
      <c r="O99" s="256"/>
      <c r="P99" s="149"/>
      <c r="Q99" s="104"/>
      <c r="R99" s="50" t="str">
        <f ca="1">IF(AND(NOT(ISNUMBER(AB99)),NOT(ISNUMBER(AG99))),"",IF(ISNUMBER(AB99),AB99,0)+IF(ISNUMBER(AG99),AG99,0))</f>
        <v/>
      </c>
      <c r="S99" s="102" t="s">
        <v>172</v>
      </c>
      <c r="T99" s="48" t="str">
        <f>IF(ISNUMBER(L99),"Kohdetieto",IF(OR(C100=Pudotusvalikot!$D$14,C100=Pudotusvalikot!$D$15),Kalusto!$I$96,VLOOKUP(C100,Kalusto!$C$44:$L$83,7,FALSE)))</f>
        <v>Maansiirtoauto</v>
      </c>
      <c r="U99" s="48">
        <f>IF(ISNUMBER(L99),"Kohdetieto",IF(OR(C100=Pudotusvalikot!$D$14,C100=Pudotusvalikot!$D$15),Kalusto!$J$96,VLOOKUP(C100,Kalusto!$C$44:$L$83,8,FALSE)))</f>
        <v>32</v>
      </c>
      <c r="V99" s="49">
        <f>IF(ISNUMBER(L99),"Kohdetieto",IF(OR(C100=Pudotusvalikot!$D$14,C100=Pudotusvalikot!$D$15),Kalusto!$K$96,VLOOKUP(C100,Kalusto!$C$44:$L$83,9,FALSE)))</f>
        <v>0.8</v>
      </c>
      <c r="W99" s="49" t="str">
        <f>IF(ISNUMBER(L99),"Kohdetieto",IF(OR(C100=Pudotusvalikot!$D$14,C100=Pudotusvalikot!$D$15),Kalusto!$L$96,VLOOKUP(C100,Kalusto!$C$44:$L$83,10,FALSE)))</f>
        <v>maantieajo</v>
      </c>
      <c r="X99" s="50" t="str">
        <f>IF(ISBLANK(C99),"",IF(D99="t",C99,IF(ISNUMBER(C99*G99),C99*G99,"")))</f>
        <v/>
      </c>
      <c r="Y99" s="48" t="str">
        <f>IF(ISNUMBER(C102),C102,"")</f>
        <v/>
      </c>
      <c r="Z99" s="50" t="str">
        <f>IF(ISNUMBER(X99/(U99*V99)*Y99),X99/(U99*V99)*Y99,"")</f>
        <v/>
      </c>
      <c r="AA99" s="51">
        <f>IF(ISNUMBER(L99),L99,K99)</f>
        <v>6.1090000000000005E-2</v>
      </c>
      <c r="AB99" s="50" t="str">
        <f>IF(ISNUMBER(Y99*X99*K99),Y99*X99*K99,"")</f>
        <v/>
      </c>
      <c r="AC99" s="50" t="str">
        <f>IF(C119="Kyllä",Y99,"")</f>
        <v/>
      </c>
      <c r="AD99" s="50" t="str">
        <f>IF(C119="Kyllä",IF(ISNUMBER(X99/(U99*V99)),X99/(U99*V99),""),"")</f>
        <v/>
      </c>
      <c r="AE99" s="50" t="str">
        <f>IF(ISNUMBER(AD99*AC99),AD99*AC99,"")</f>
        <v/>
      </c>
      <c r="AF99" s="51">
        <f ca="1">IF(ISNUMBER(L100),L100,K100)</f>
        <v>0.71940999999999999</v>
      </c>
      <c r="AG99" s="50" t="str">
        <f ca="1">IF(ISNUMBER(AC99*AD99*K100),AC99*AD99*K100,"")</f>
        <v/>
      </c>
      <c r="AH99" s="48">
        <f>IF(T99="Jakelukuorma-auto",0,IF(T99="Maansiirtoauto",4,IF(T99="Puoliperävaunu",6,8)))</f>
        <v>4</v>
      </c>
      <c r="AI99" s="48">
        <f>IF(AND(T99="Jakelukuorma-auto",U99=6),0,IF(AND(T99="Jakelukuorma-auto",U99=15),2,0))</f>
        <v>0</v>
      </c>
      <c r="AJ99" s="48">
        <f>IF(W99="maantieajo",0,1)</f>
        <v>0</v>
      </c>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46.5" x14ac:dyDescent="0.3">
      <c r="B100" s="170" t="s">
        <v>512</v>
      </c>
      <c r="C100" s="392" t="s">
        <v>84</v>
      </c>
      <c r="D100" s="393"/>
      <c r="E100" s="393"/>
      <c r="F100" s="393"/>
      <c r="G100" s="394"/>
      <c r="H100" s="84"/>
      <c r="I100" s="84"/>
      <c r="J100" s="33" t="s">
        <v>442</v>
      </c>
      <c r="K100" s="96">
        <f ca="1">IF(ISNUMBER(L100),L100,IF($C$140="Ei","",IF(AND($C$140="Kyllä",OR(C100=Pudotusvalikot!$D$14,C100=Pudotusvalikot!$D$15)),Kalusto!$G$97,OFFSET(Kalusto!$G$85,AH99+AJ99+AI99,0,1,1)))*IF(OR(C101=Pudotusvalikot!$V$3,C101=Pudotusvalikot!$V$4),Muut!$E$38,IF(C101=Pudotusvalikot!$V$5,Muut!$E$39,IF(C101=Pudotusvalikot!$V$6,Muut!$E$40,Muut!$E$41))))</f>
        <v>0.71940999999999999</v>
      </c>
      <c r="L100" s="40"/>
      <c r="M100" s="41" t="s">
        <v>204</v>
      </c>
      <c r="N100" s="41"/>
      <c r="O100" s="256"/>
      <c r="P100" s="147"/>
      <c r="Q100" s="105"/>
      <c r="R100" s="36"/>
      <c r="S100" s="36"/>
      <c r="T100" s="36"/>
      <c r="U100" s="36"/>
      <c r="V100" s="36"/>
      <c r="W100" s="36"/>
      <c r="X100" s="36"/>
      <c r="Y100" s="36"/>
      <c r="Z100" s="36"/>
      <c r="AA100" s="36"/>
      <c r="AB100" s="36"/>
      <c r="AC100" s="36"/>
      <c r="AD100" s="36"/>
      <c r="AE100" s="36"/>
      <c r="AF100" s="36"/>
      <c r="AG100" s="36"/>
      <c r="AH100" s="36"/>
      <c r="AI100" s="36"/>
      <c r="AJ100" s="36"/>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15.5" x14ac:dyDescent="0.3">
      <c r="B101" s="186" t="s">
        <v>506</v>
      </c>
      <c r="C101" s="160" t="s">
        <v>242</v>
      </c>
      <c r="D101" s="34"/>
      <c r="E101" s="34"/>
      <c r="F101" s="34"/>
      <c r="G101" s="34"/>
      <c r="H101" s="59"/>
      <c r="J101" s="173"/>
      <c r="K101" s="173"/>
      <c r="L101" s="173"/>
      <c r="M101" s="41"/>
      <c r="N101" s="41"/>
      <c r="O101" s="256"/>
      <c r="Q101" s="47"/>
      <c r="R101" s="102"/>
      <c r="S101" s="102"/>
      <c r="T101" s="36"/>
      <c r="U101" s="36"/>
      <c r="V101" s="181"/>
      <c r="W101" s="181"/>
      <c r="X101" s="61"/>
      <c r="Y101" s="36"/>
      <c r="Z101" s="61"/>
      <c r="AA101" s="182"/>
      <c r="AB101" s="61"/>
      <c r="AC101" s="61"/>
      <c r="AD101" s="61"/>
      <c r="AE101" s="61"/>
      <c r="AF101" s="182"/>
      <c r="AG101" s="61"/>
      <c r="AH101" s="36"/>
      <c r="AI101" s="36"/>
      <c r="AJ101" s="36"/>
      <c r="AK101" s="108"/>
      <c r="AL101" s="36"/>
      <c r="AM101" s="36"/>
      <c r="AN101" s="37"/>
      <c r="AO101" s="37"/>
      <c r="AP101" s="37"/>
      <c r="AQ101" s="37"/>
      <c r="AR101" s="37"/>
      <c r="AS101" s="37"/>
      <c r="AT101" s="37"/>
      <c r="AU101" s="37"/>
      <c r="AV101" s="37"/>
      <c r="AW101" s="37"/>
      <c r="AX101" s="37"/>
      <c r="AY101" s="37"/>
      <c r="AZ101" s="37"/>
      <c r="BA101" s="37"/>
      <c r="BB101" s="37"/>
      <c r="BC101" s="37"/>
      <c r="BD101" s="37"/>
      <c r="BE101" s="37"/>
    </row>
    <row r="102" spans="2:59" s="31" customFormat="1" ht="15.5" x14ac:dyDescent="0.3">
      <c r="B102" s="45" t="s">
        <v>525</v>
      </c>
      <c r="C102" s="162"/>
      <c r="D102" s="84" t="s">
        <v>5</v>
      </c>
      <c r="G102" s="34"/>
      <c r="H102" s="84"/>
      <c r="I102" s="84"/>
      <c r="J102" s="33"/>
      <c r="K102" s="34"/>
      <c r="L102" s="34"/>
      <c r="M102" s="84"/>
      <c r="N102" s="84"/>
      <c r="O102" s="257"/>
      <c r="P102" s="150"/>
      <c r="Q102" s="105"/>
      <c r="R102" s="36"/>
      <c r="S102" s="36"/>
      <c r="T102" s="36"/>
      <c r="U102" s="36"/>
      <c r="V102" s="36"/>
      <c r="W102" s="36"/>
      <c r="X102" s="36"/>
      <c r="Y102" s="36"/>
      <c r="Z102" s="36"/>
      <c r="AA102" s="36"/>
      <c r="AB102" s="36"/>
      <c r="AC102" s="36"/>
      <c r="AD102" s="36"/>
      <c r="AE102" s="36"/>
      <c r="AF102" s="36"/>
      <c r="AG102" s="36"/>
      <c r="AH102" s="36"/>
      <c r="AI102" s="36"/>
      <c r="AJ102" s="36"/>
      <c r="AK102" s="108"/>
      <c r="AL102" s="36"/>
      <c r="AM102" s="36"/>
      <c r="AN102" s="37"/>
      <c r="AO102" s="37"/>
      <c r="AP102" s="37"/>
      <c r="AQ102" s="37"/>
      <c r="AR102" s="37"/>
      <c r="AS102" s="37"/>
      <c r="AT102" s="37"/>
      <c r="AU102" s="37"/>
      <c r="AV102" s="37"/>
      <c r="AW102" s="37"/>
      <c r="AX102" s="37"/>
      <c r="AY102" s="37"/>
      <c r="AZ102" s="37"/>
      <c r="BA102" s="37"/>
      <c r="BB102" s="37"/>
      <c r="BC102" s="37"/>
      <c r="BD102" s="37"/>
      <c r="BE102" s="37"/>
      <c r="BF102" s="108"/>
      <c r="BG102" s="108"/>
    </row>
    <row r="103" spans="2:59" s="31" customFormat="1" ht="15.5" x14ac:dyDescent="0.3">
      <c r="B103" s="95" t="str">
        <f>IF(LEFT(B85,4)="Sora","Sora",B85)</f>
        <v>Sora</v>
      </c>
      <c r="C103" s="34"/>
      <c r="D103" s="84"/>
      <c r="G103" s="34"/>
      <c r="H103" s="84"/>
      <c r="I103" s="84"/>
      <c r="J103" s="33"/>
      <c r="K103" s="38" t="s">
        <v>329</v>
      </c>
      <c r="L103" s="38" t="s">
        <v>201</v>
      </c>
      <c r="M103" s="86"/>
      <c r="N103" s="86"/>
      <c r="O103" s="257"/>
      <c r="P103" s="148"/>
      <c r="Q103" s="37"/>
      <c r="R103" s="36" t="s">
        <v>350</v>
      </c>
      <c r="S103" s="36"/>
      <c r="T103" s="36" t="s">
        <v>446</v>
      </c>
      <c r="U103" s="36" t="s">
        <v>445</v>
      </c>
      <c r="V103" s="36" t="s">
        <v>443</v>
      </c>
      <c r="W103" s="36" t="s">
        <v>444</v>
      </c>
      <c r="X103" s="36" t="s">
        <v>447</v>
      </c>
      <c r="Y103" s="36" t="s">
        <v>449</v>
      </c>
      <c r="Z103" s="36" t="s">
        <v>448</v>
      </c>
      <c r="AA103" s="36" t="s">
        <v>202</v>
      </c>
      <c r="AB103" s="36" t="s">
        <v>380</v>
      </c>
      <c r="AC103" s="36" t="s">
        <v>450</v>
      </c>
      <c r="AD103" s="36" t="s">
        <v>381</v>
      </c>
      <c r="AE103" s="36" t="s">
        <v>451</v>
      </c>
      <c r="AF103" s="36" t="s">
        <v>452</v>
      </c>
      <c r="AG103" s="36" t="s">
        <v>638</v>
      </c>
      <c r="AH103" s="36" t="s">
        <v>206</v>
      </c>
      <c r="AI103" s="36" t="s">
        <v>278</v>
      </c>
      <c r="AJ103" s="36" t="s">
        <v>207</v>
      </c>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46.5" x14ac:dyDescent="0.3">
      <c r="B104" s="45" t="s">
        <v>526</v>
      </c>
      <c r="C104" s="175" t="str">
        <f>IF(ISNUMBER(C85),C85,"")</f>
        <v/>
      </c>
      <c r="D104" s="113" t="str">
        <f>D85</f>
        <v>m3rtr</v>
      </c>
      <c r="G104" s="367">
        <f>IF(ISNUMBER(G85),G85,"")</f>
        <v>1.6666666666666667</v>
      </c>
      <c r="H104" s="84" t="str">
        <f>IF(D104="t","t/t","t/m3")</f>
        <v>t/m3</v>
      </c>
      <c r="I104" s="84"/>
      <c r="J104" s="173" t="s">
        <v>441</v>
      </c>
      <c r="K104" s="96">
        <f>IF(ISNUMBER(L104),L104,IF(OR(C105=Pudotusvalikot!$D$14,C105=Pudotusvalikot!$D$15),Kalusto!$G$96,VLOOKUP(C105,Kalusto!$C$44:$G$83,5,FALSE))*IF(OR(C106=Pudotusvalikot!$V$3,C106=Pudotusvalikot!$V$4),Muut!$E$38,IF(C106=Pudotusvalikot!$V$5,Muut!$E$39,IF(C106=Pudotusvalikot!$V$6,Muut!$E$40,Muut!$E$41))))</f>
        <v>6.1090000000000005E-2</v>
      </c>
      <c r="L104" s="40"/>
      <c r="M104" s="41" t="s">
        <v>200</v>
      </c>
      <c r="N104" s="41"/>
      <c r="O104" s="256"/>
      <c r="P104" s="149"/>
      <c r="Q104" s="104"/>
      <c r="R104" s="50" t="str">
        <f ca="1">IF(AND(NOT(ISNUMBER(AB104)),NOT(ISNUMBER(AG104))),"",IF(ISNUMBER(AB104),AB104,0)+IF(ISNUMBER(AG104),AG104,0))</f>
        <v/>
      </c>
      <c r="S104" s="102" t="s">
        <v>172</v>
      </c>
      <c r="T104" s="48" t="str">
        <f>IF(ISNUMBER(L104),"Kohdetieto",IF(OR(C105=Pudotusvalikot!$D$14,C105=Pudotusvalikot!$D$15),Kalusto!$I$96,VLOOKUP(C105,Kalusto!$C$44:$L$83,7,FALSE)))</f>
        <v>Maansiirtoauto</v>
      </c>
      <c r="U104" s="48">
        <f>IF(ISNUMBER(L104),"Kohdetieto",IF(OR(C105=Pudotusvalikot!$D$14,C105=Pudotusvalikot!$D$15),Kalusto!$J$96,VLOOKUP(C105,Kalusto!$C$44:$L$83,8,FALSE)))</f>
        <v>32</v>
      </c>
      <c r="V104" s="49">
        <f>IF(ISNUMBER(L104),"Kohdetieto",IF(OR(C105=Pudotusvalikot!$D$14,C105=Pudotusvalikot!$D$15),Kalusto!$K$96,VLOOKUP(C105,Kalusto!$C$44:$L$83,9,FALSE)))</f>
        <v>0.8</v>
      </c>
      <c r="W104" s="49" t="str">
        <f>IF(ISNUMBER(L104),"Kohdetieto",IF(OR(C105=Pudotusvalikot!$D$14,C105=Pudotusvalikot!$D$15),Kalusto!$L$96,VLOOKUP(C105,Kalusto!$C$44:$L$83,10,FALSE)))</f>
        <v>maantieajo</v>
      </c>
      <c r="X104" s="50" t="str">
        <f>IF(ISBLANK(C104),"",IF(D104="t",C104,IF(ISNUMBER(C104*G104),C104*G104,"")))</f>
        <v/>
      </c>
      <c r="Y104" s="48" t="str">
        <f>IF(ISNUMBER(C107),C107,"")</f>
        <v/>
      </c>
      <c r="Z104" s="50" t="str">
        <f>IF(ISNUMBER(X104/(U104*V104)*Y104),X104/(U104*V104)*Y104,"")</f>
        <v/>
      </c>
      <c r="AA104" s="51">
        <f>IF(ISNUMBER(L104),L104,K104)</f>
        <v>6.1090000000000005E-2</v>
      </c>
      <c r="AB104" s="50" t="str">
        <f>IF(ISNUMBER(Y104*X104*K104),Y104*X104*K104,"")</f>
        <v/>
      </c>
      <c r="AC104" s="50" t="str">
        <f>IF(C119="Kyllä",Y104,"")</f>
        <v/>
      </c>
      <c r="AD104" s="50" t="str">
        <f>IF(C119="Kyllä",IF(ISNUMBER(X104/(U104*V104)),X104/(U104*V104),""),"")</f>
        <v/>
      </c>
      <c r="AE104" s="50" t="str">
        <f>IF(ISNUMBER(AD104*AC104),AD104*AC104,"")</f>
        <v/>
      </c>
      <c r="AF104" s="51">
        <f ca="1">IF(ISNUMBER(L105),L105,K105)</f>
        <v>0.71940999999999999</v>
      </c>
      <c r="AG104" s="50" t="str">
        <f ca="1">IF(ISNUMBER(AC104*AD104*K105),AC104*AD104*K105,"")</f>
        <v/>
      </c>
      <c r="AH104" s="48">
        <f>IF(T104="Jakelukuorma-auto",0,IF(T104="Maansiirtoauto",4,IF(T104="Puoliperävaunu",6,8)))</f>
        <v>4</v>
      </c>
      <c r="AI104" s="48">
        <f>IF(AND(T104="Jakelukuorma-auto",U104=6),0,IF(AND(T104="Jakelukuorma-auto",U104=15),2,0))</f>
        <v>0</v>
      </c>
      <c r="AJ104" s="48">
        <f>IF(W104="maantieajo",0,1)</f>
        <v>0</v>
      </c>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46.5" x14ac:dyDescent="0.3">
      <c r="B105" s="170" t="s">
        <v>512</v>
      </c>
      <c r="C105" s="392" t="s">
        <v>84</v>
      </c>
      <c r="D105" s="393"/>
      <c r="E105" s="393"/>
      <c r="F105" s="393"/>
      <c r="G105" s="394"/>
      <c r="H105" s="84"/>
      <c r="I105" s="84"/>
      <c r="J105" s="33" t="s">
        <v>442</v>
      </c>
      <c r="K105" s="96">
        <f ca="1">IF(ISNUMBER(L105),L105,IF($C$140="Ei","",IF(AND($C$140="Kyllä",OR(C105=Pudotusvalikot!$D$14,C105=Pudotusvalikot!$D$15)),Kalusto!$G$97,OFFSET(Kalusto!$G$85,AH104+AJ104+AI104,0,1,1)))*IF(OR(C106=Pudotusvalikot!$V$3,C106=Pudotusvalikot!$V$4),Muut!$E$38,IF(C106=Pudotusvalikot!$V$5,Muut!$E$39,IF(C106=Pudotusvalikot!$V$6,Muut!$E$40,Muut!$E$41))))</f>
        <v>0.71940999999999999</v>
      </c>
      <c r="L105" s="40"/>
      <c r="M105" s="41" t="s">
        <v>204</v>
      </c>
      <c r="N105" s="41"/>
      <c r="O105" s="256"/>
      <c r="P105" s="147"/>
      <c r="Q105" s="105"/>
      <c r="R105" s="36"/>
      <c r="S105" s="36"/>
      <c r="T105" s="36"/>
      <c r="U105" s="36"/>
      <c r="V105" s="36"/>
      <c r="W105" s="36"/>
      <c r="X105" s="36"/>
      <c r="Y105" s="36"/>
      <c r="Z105" s="36"/>
      <c r="AA105" s="36"/>
      <c r="AB105" s="36"/>
      <c r="AC105" s="36"/>
      <c r="AD105" s="36"/>
      <c r="AE105" s="36"/>
      <c r="AF105" s="36"/>
      <c r="AG105" s="36"/>
      <c r="AH105" s="36"/>
      <c r="AI105" s="36"/>
      <c r="AJ105" s="36"/>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15.5" x14ac:dyDescent="0.3">
      <c r="B106" s="186" t="s">
        <v>506</v>
      </c>
      <c r="C106" s="160" t="s">
        <v>242</v>
      </c>
      <c r="D106" s="34"/>
      <c r="E106" s="34"/>
      <c r="F106" s="34"/>
      <c r="G106" s="34"/>
      <c r="H106" s="59"/>
      <c r="J106" s="173"/>
      <c r="K106" s="173"/>
      <c r="L106" s="173"/>
      <c r="M106" s="41"/>
      <c r="N106" s="41"/>
      <c r="O106" s="256"/>
      <c r="Q106" s="47"/>
      <c r="R106" s="102"/>
      <c r="S106" s="102"/>
      <c r="T106" s="36"/>
      <c r="U106" s="36"/>
      <c r="V106" s="181"/>
      <c r="W106" s="181"/>
      <c r="X106" s="61"/>
      <c r="Y106" s="36"/>
      <c r="Z106" s="61"/>
      <c r="AA106" s="182"/>
      <c r="AB106" s="61"/>
      <c r="AC106" s="61"/>
      <c r="AD106" s="61"/>
      <c r="AE106" s="61"/>
      <c r="AF106" s="182"/>
      <c r="AG106" s="61"/>
      <c r="AH106" s="36"/>
      <c r="AI106" s="36"/>
      <c r="AJ106" s="36"/>
      <c r="AK106" s="108"/>
      <c r="AL106" s="36"/>
      <c r="AM106" s="36"/>
      <c r="AN106" s="37"/>
      <c r="AO106" s="37"/>
      <c r="AP106" s="37"/>
      <c r="AQ106" s="37"/>
      <c r="AR106" s="37"/>
      <c r="AS106" s="37"/>
      <c r="AT106" s="37"/>
      <c r="AU106" s="37"/>
      <c r="AV106" s="37"/>
      <c r="AW106" s="37"/>
      <c r="AX106" s="37"/>
      <c r="AY106" s="37"/>
      <c r="AZ106" s="37"/>
      <c r="BA106" s="37"/>
      <c r="BB106" s="37"/>
      <c r="BC106" s="37"/>
      <c r="BD106" s="37"/>
      <c r="BE106" s="37"/>
    </row>
    <row r="107" spans="2:59" s="31" customFormat="1" ht="15.5" x14ac:dyDescent="0.3">
      <c r="B107" s="45" t="s">
        <v>525</v>
      </c>
      <c r="C107" s="162"/>
      <c r="D107" s="84" t="s">
        <v>5</v>
      </c>
      <c r="G107" s="34"/>
      <c r="H107" s="84"/>
      <c r="I107" s="84"/>
      <c r="J107" s="33"/>
      <c r="K107" s="34"/>
      <c r="L107" s="34"/>
      <c r="M107" s="84"/>
      <c r="N107" s="84"/>
      <c r="O107" s="257"/>
      <c r="P107" s="150"/>
      <c r="Q107" s="105"/>
      <c r="R107" s="36"/>
      <c r="S107" s="36"/>
      <c r="T107" s="36"/>
      <c r="U107" s="36"/>
      <c r="V107" s="36"/>
      <c r="W107" s="36"/>
      <c r="X107" s="36"/>
      <c r="Y107" s="36"/>
      <c r="Z107" s="36"/>
      <c r="AA107" s="36"/>
      <c r="AB107" s="36"/>
      <c r="AC107" s="36"/>
      <c r="AD107" s="36"/>
      <c r="AE107" s="36"/>
      <c r="AF107" s="36"/>
      <c r="AG107" s="36"/>
      <c r="AH107" s="36"/>
      <c r="AI107" s="36"/>
      <c r="AJ107" s="36"/>
      <c r="AK107" s="108"/>
      <c r="AL107" s="36"/>
      <c r="AM107" s="36"/>
      <c r="AN107" s="37"/>
      <c r="AO107" s="37"/>
      <c r="AP107" s="37"/>
      <c r="AQ107" s="37"/>
      <c r="AR107" s="37"/>
      <c r="AS107" s="37"/>
      <c r="AT107" s="37"/>
      <c r="AU107" s="37"/>
      <c r="AV107" s="37"/>
      <c r="AW107" s="37"/>
      <c r="AX107" s="37"/>
      <c r="AY107" s="37"/>
      <c r="AZ107" s="37"/>
      <c r="BA107" s="37"/>
      <c r="BB107" s="37"/>
      <c r="BC107" s="37"/>
      <c r="BD107" s="37"/>
      <c r="BE107" s="37"/>
      <c r="BF107" s="108"/>
      <c r="BG107" s="108"/>
    </row>
    <row r="108" spans="2:59" s="31" customFormat="1" ht="15.5" x14ac:dyDescent="0.3">
      <c r="B108" s="95" t="str">
        <f>IF(LEFT(B86,6)="Hiekka","Hiekka",B86)</f>
        <v>Hiekka</v>
      </c>
      <c r="C108" s="34"/>
      <c r="D108" s="84"/>
      <c r="G108" s="34"/>
      <c r="H108" s="84"/>
      <c r="I108" s="84"/>
      <c r="J108" s="33"/>
      <c r="K108" s="38" t="s">
        <v>329</v>
      </c>
      <c r="L108" s="38" t="s">
        <v>201</v>
      </c>
      <c r="M108" s="86"/>
      <c r="N108" s="86"/>
      <c r="O108" s="257"/>
      <c r="P108" s="148"/>
      <c r="Q108" s="37"/>
      <c r="R108" s="36" t="s">
        <v>350</v>
      </c>
      <c r="S108" s="36"/>
      <c r="T108" s="36" t="s">
        <v>446</v>
      </c>
      <c r="U108" s="36" t="s">
        <v>445</v>
      </c>
      <c r="V108" s="36" t="s">
        <v>443</v>
      </c>
      <c r="W108" s="36" t="s">
        <v>444</v>
      </c>
      <c r="X108" s="36" t="s">
        <v>447</v>
      </c>
      <c r="Y108" s="36" t="s">
        <v>449</v>
      </c>
      <c r="Z108" s="36" t="s">
        <v>448</v>
      </c>
      <c r="AA108" s="36" t="s">
        <v>202</v>
      </c>
      <c r="AB108" s="36" t="s">
        <v>380</v>
      </c>
      <c r="AC108" s="36" t="s">
        <v>450</v>
      </c>
      <c r="AD108" s="36" t="s">
        <v>381</v>
      </c>
      <c r="AE108" s="36" t="s">
        <v>451</v>
      </c>
      <c r="AF108" s="36" t="s">
        <v>452</v>
      </c>
      <c r="AG108" s="36" t="s">
        <v>638</v>
      </c>
      <c r="AH108" s="36" t="s">
        <v>206</v>
      </c>
      <c r="AI108" s="36" t="s">
        <v>278</v>
      </c>
      <c r="AJ108" s="36" t="s">
        <v>207</v>
      </c>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46.5" x14ac:dyDescent="0.3">
      <c r="B109" s="45" t="s">
        <v>526</v>
      </c>
      <c r="C109" s="175" t="str">
        <f>IF(ISNUMBER(C86),C86,"")</f>
        <v/>
      </c>
      <c r="D109" s="113" t="str">
        <f>D86</f>
        <v>m3rtr</v>
      </c>
      <c r="G109" s="367">
        <f>IF(ISNUMBER(G86),G86,"")</f>
        <v>1.4285714285714286</v>
      </c>
      <c r="H109" s="84" t="str">
        <f>IF(D109="t","t/t","t/m3")</f>
        <v>t/m3</v>
      </c>
      <c r="I109" s="84"/>
      <c r="J109" s="173" t="s">
        <v>441</v>
      </c>
      <c r="K109" s="96">
        <f>IF(ISNUMBER(L109),L109,IF(OR(C110=Pudotusvalikot!$D$14,C110=Pudotusvalikot!$D$15),Kalusto!$G$96,VLOOKUP(C110,Kalusto!$C$44:$G$83,5,FALSE))*IF(OR(C111=Pudotusvalikot!$V$3,C111=Pudotusvalikot!$V$4),Muut!$E$38,IF(C111=Pudotusvalikot!$V$5,Muut!$E$39,IF(C111=Pudotusvalikot!$V$6,Muut!$E$40,Muut!$E$41))))</f>
        <v>6.1090000000000005E-2</v>
      </c>
      <c r="L109" s="40"/>
      <c r="M109" s="41" t="s">
        <v>200</v>
      </c>
      <c r="N109" s="41"/>
      <c r="O109" s="256"/>
      <c r="P109" s="149"/>
      <c r="Q109" s="104"/>
      <c r="R109" s="50" t="str">
        <f ca="1">IF(AND(NOT(ISNUMBER(AB109)),NOT(ISNUMBER(AG109))),"",IF(ISNUMBER(AB109),AB109,0)+IF(ISNUMBER(AG109),AG109,0))</f>
        <v/>
      </c>
      <c r="S109" s="102" t="s">
        <v>172</v>
      </c>
      <c r="T109" s="48" t="str">
        <f>IF(ISNUMBER(L109),"Kohdetieto",IF(OR(C110=Pudotusvalikot!$D$14,C110=Pudotusvalikot!$D$15),Kalusto!$I$96,VLOOKUP(C110,Kalusto!$C$44:$L$83,7,FALSE)))</f>
        <v>Maansiirtoauto</v>
      </c>
      <c r="U109" s="48">
        <f>IF(ISNUMBER(L109),"Kohdetieto",IF(OR(C110=Pudotusvalikot!$D$14,C110=Pudotusvalikot!$D$15),Kalusto!$J$96,VLOOKUP(C110,Kalusto!$C$44:$L$83,8,FALSE)))</f>
        <v>32</v>
      </c>
      <c r="V109" s="49">
        <f>IF(ISNUMBER(L109),"Kohdetieto",IF(OR(C110=Pudotusvalikot!$D$14,C110=Pudotusvalikot!$D$15),Kalusto!$K$96,VLOOKUP(C110,Kalusto!$C$44:$L$83,9,FALSE)))</f>
        <v>0.8</v>
      </c>
      <c r="W109" s="49" t="str">
        <f>IF(ISNUMBER(L109),"Kohdetieto",IF(OR(C110=Pudotusvalikot!$D$14,C110=Pudotusvalikot!$D$15),Kalusto!$L$96,VLOOKUP(C110,Kalusto!$C$44:$L$83,10,FALSE)))</f>
        <v>maantieajo</v>
      </c>
      <c r="X109" s="50" t="str">
        <f>IF(ISBLANK(C109),"",IF(D109="t",C109,IF(ISNUMBER(C109*G109),C109*G109,"")))</f>
        <v/>
      </c>
      <c r="Y109" s="48" t="str">
        <f>IF(ISNUMBER(C112),C112,"")</f>
        <v/>
      </c>
      <c r="Z109" s="50" t="str">
        <f>IF(ISNUMBER(X109/(U109*V109)*Y109),X109/(U109*V109)*Y109,"")</f>
        <v/>
      </c>
      <c r="AA109" s="51">
        <f>IF(ISNUMBER(L109),L109,K109)</f>
        <v>6.1090000000000005E-2</v>
      </c>
      <c r="AB109" s="50" t="str">
        <f>IF(ISNUMBER(Y109*X109*K109),Y109*X109*K109,"")</f>
        <v/>
      </c>
      <c r="AC109" s="50" t="str">
        <f>IF(C119="Kyllä",Y109,"")</f>
        <v/>
      </c>
      <c r="AD109" s="50" t="str">
        <f>IF(C119="Kyllä",IF(ISNUMBER(X109/(U109*V109)),X109/(U109*V109),""),"")</f>
        <v/>
      </c>
      <c r="AE109" s="50" t="str">
        <f>IF(ISNUMBER(AD109*AC109),AD109*AC109,"")</f>
        <v/>
      </c>
      <c r="AF109" s="51">
        <f ca="1">IF(ISNUMBER(L110),L110,K110)</f>
        <v>0.71940999999999999</v>
      </c>
      <c r="AG109" s="50" t="str">
        <f ca="1">IF(ISNUMBER(AC109*AD109*K110),AC109*AD109*K110,"")</f>
        <v/>
      </c>
      <c r="AH109" s="48">
        <f>IF(T109="Jakelukuorma-auto",0,IF(T109="Maansiirtoauto",4,IF(T109="Puoliperävaunu",6,8)))</f>
        <v>4</v>
      </c>
      <c r="AI109" s="48">
        <f>IF(AND(T109="Jakelukuorma-auto",U109=6),0,IF(AND(T109="Jakelukuorma-auto",U109=15),2,0))</f>
        <v>0</v>
      </c>
      <c r="AJ109" s="48">
        <f>IF(W109="maantieajo",0,1)</f>
        <v>0</v>
      </c>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46.5" x14ac:dyDescent="0.3">
      <c r="B110" s="170" t="s">
        <v>512</v>
      </c>
      <c r="C110" s="392" t="s">
        <v>84</v>
      </c>
      <c r="D110" s="393"/>
      <c r="E110" s="393"/>
      <c r="F110" s="393"/>
      <c r="G110" s="394"/>
      <c r="H110" s="84"/>
      <c r="I110" s="84"/>
      <c r="J110" s="33" t="s">
        <v>442</v>
      </c>
      <c r="K110" s="96">
        <f ca="1">IF(ISNUMBER(L110),L110,IF($C$140="Ei","",IF(AND($C$140="Kyllä",OR(C110=Pudotusvalikot!$D$14,C110=Pudotusvalikot!$D$15)),Kalusto!$G$97,OFFSET(Kalusto!$G$85,AH109+AJ109+AI109,0,1,1)))*IF(OR(C111=Pudotusvalikot!$V$3,C111=Pudotusvalikot!$V$4),Muut!$E$38,IF(C111=Pudotusvalikot!$V$5,Muut!$E$39,IF(C111=Pudotusvalikot!$V$6,Muut!$E$40,Muut!$E$41))))</f>
        <v>0.71940999999999999</v>
      </c>
      <c r="L110" s="40"/>
      <c r="M110" s="41" t="s">
        <v>204</v>
      </c>
      <c r="N110" s="41"/>
      <c r="O110" s="256"/>
      <c r="P110" s="147"/>
      <c r="Q110" s="105"/>
      <c r="R110" s="36"/>
      <c r="S110" s="36"/>
      <c r="T110" s="36"/>
      <c r="U110" s="36"/>
      <c r="V110" s="36"/>
      <c r="W110" s="36"/>
      <c r="X110" s="36"/>
      <c r="Y110" s="36"/>
      <c r="Z110" s="36"/>
      <c r="AA110" s="36"/>
      <c r="AB110" s="36"/>
      <c r="AC110" s="36"/>
      <c r="AD110" s="36"/>
      <c r="AE110" s="36"/>
      <c r="AF110" s="36"/>
      <c r="AG110" s="36"/>
      <c r="AH110" s="36"/>
      <c r="AI110" s="36"/>
      <c r="AJ110" s="36"/>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15.5" x14ac:dyDescent="0.3">
      <c r="B111" s="186" t="s">
        <v>506</v>
      </c>
      <c r="C111" s="160" t="s">
        <v>242</v>
      </c>
      <c r="D111" s="34"/>
      <c r="E111" s="34"/>
      <c r="F111" s="34"/>
      <c r="G111" s="34"/>
      <c r="H111" s="59"/>
      <c r="J111" s="173"/>
      <c r="K111" s="173"/>
      <c r="L111" s="173"/>
      <c r="M111" s="41"/>
      <c r="N111" s="41"/>
      <c r="O111" s="256"/>
      <c r="Q111" s="47"/>
      <c r="R111" s="102"/>
      <c r="S111" s="102"/>
      <c r="T111" s="36"/>
      <c r="U111" s="36"/>
      <c r="V111" s="181"/>
      <c r="W111" s="181"/>
      <c r="X111" s="61"/>
      <c r="Y111" s="36"/>
      <c r="Z111" s="61"/>
      <c r="AA111" s="182"/>
      <c r="AB111" s="61"/>
      <c r="AC111" s="61"/>
      <c r="AD111" s="61"/>
      <c r="AE111" s="61"/>
      <c r="AF111" s="182"/>
      <c r="AG111" s="61"/>
      <c r="AH111" s="36"/>
      <c r="AI111" s="36"/>
      <c r="AJ111" s="36"/>
      <c r="AK111" s="108"/>
      <c r="AL111" s="36"/>
      <c r="AM111" s="36"/>
      <c r="AN111" s="37"/>
      <c r="AO111" s="37"/>
      <c r="AP111" s="37"/>
      <c r="AQ111" s="37"/>
      <c r="AR111" s="37"/>
      <c r="AS111" s="37"/>
      <c r="AT111" s="37"/>
      <c r="AU111" s="37"/>
      <c r="AV111" s="37"/>
      <c r="AW111" s="37"/>
      <c r="AX111" s="37"/>
      <c r="AY111" s="37"/>
      <c r="AZ111" s="37"/>
      <c r="BA111" s="37"/>
      <c r="BB111" s="37"/>
      <c r="BC111" s="37"/>
      <c r="BD111" s="37"/>
      <c r="BE111" s="37"/>
    </row>
    <row r="112" spans="2:59" s="31" customFormat="1" ht="15.5" x14ac:dyDescent="0.3">
      <c r="B112" s="45" t="s">
        <v>525</v>
      </c>
      <c r="C112" s="162"/>
      <c r="D112" s="84" t="s">
        <v>5</v>
      </c>
      <c r="G112" s="34"/>
      <c r="H112" s="84"/>
      <c r="I112" s="84"/>
      <c r="J112" s="33"/>
      <c r="K112" s="34"/>
      <c r="L112" s="34"/>
      <c r="M112" s="84"/>
      <c r="N112" s="84"/>
      <c r="O112" s="257"/>
      <c r="P112" s="150"/>
      <c r="Q112" s="105"/>
      <c r="R112" s="36"/>
      <c r="S112" s="36"/>
      <c r="T112" s="36"/>
      <c r="U112" s="36"/>
      <c r="V112" s="36"/>
      <c r="W112" s="36"/>
      <c r="X112" s="36"/>
      <c r="Y112" s="36"/>
      <c r="Z112" s="36"/>
      <c r="AA112" s="36"/>
      <c r="AB112" s="36"/>
      <c r="AC112" s="36"/>
      <c r="AD112" s="36"/>
      <c r="AE112" s="36"/>
      <c r="AF112" s="36"/>
      <c r="AG112" s="36"/>
      <c r="AH112" s="36"/>
      <c r="AI112" s="36"/>
      <c r="AJ112" s="36"/>
      <c r="AK112" s="108"/>
      <c r="AL112" s="36"/>
      <c r="AM112" s="36"/>
      <c r="AN112" s="37"/>
      <c r="AO112" s="37"/>
      <c r="AP112" s="37"/>
      <c r="AQ112" s="37"/>
      <c r="AR112" s="37"/>
      <c r="AS112" s="37"/>
      <c r="AT112" s="37"/>
      <c r="AU112" s="37"/>
      <c r="AV112" s="37"/>
      <c r="AW112" s="37"/>
      <c r="AX112" s="37"/>
      <c r="AY112" s="37"/>
      <c r="AZ112" s="37"/>
      <c r="BA112" s="37"/>
      <c r="BB112" s="37"/>
      <c r="BC112" s="37"/>
      <c r="BD112" s="37"/>
      <c r="BE112" s="37"/>
      <c r="BF112" s="108"/>
      <c r="BG112" s="108"/>
    </row>
    <row r="113" spans="2:59" s="31" customFormat="1" ht="15.5" x14ac:dyDescent="0.3">
      <c r="B113" s="95" t="str">
        <f>B87</f>
        <v>Maa-aineksen 5 kuvaus (valitse yksikkö ja mahdollinen muuntokerroin tonneiksi)</v>
      </c>
      <c r="C113" s="34"/>
      <c r="D113" s="84"/>
      <c r="G113" s="34"/>
      <c r="H113" s="84"/>
      <c r="I113" s="84"/>
      <c r="J113" s="33"/>
      <c r="K113" s="38" t="s">
        <v>329</v>
      </c>
      <c r="L113" s="38" t="s">
        <v>201</v>
      </c>
      <c r="M113" s="86"/>
      <c r="N113" s="86"/>
      <c r="O113" s="257"/>
      <c r="P113" s="148"/>
      <c r="Q113" s="37"/>
      <c r="R113" s="36" t="s">
        <v>350</v>
      </c>
      <c r="S113" s="36"/>
      <c r="T113" s="36" t="s">
        <v>446</v>
      </c>
      <c r="U113" s="36" t="s">
        <v>445</v>
      </c>
      <c r="V113" s="36" t="s">
        <v>443</v>
      </c>
      <c r="W113" s="36" t="s">
        <v>444</v>
      </c>
      <c r="X113" s="36" t="s">
        <v>447</v>
      </c>
      <c r="Y113" s="36" t="s">
        <v>449</v>
      </c>
      <c r="Z113" s="36" t="s">
        <v>448</v>
      </c>
      <c r="AA113" s="36" t="s">
        <v>202</v>
      </c>
      <c r="AB113" s="36" t="s">
        <v>380</v>
      </c>
      <c r="AC113" s="36" t="s">
        <v>450</v>
      </c>
      <c r="AD113" s="36" t="s">
        <v>381</v>
      </c>
      <c r="AE113" s="36" t="s">
        <v>451</v>
      </c>
      <c r="AF113" s="36" t="s">
        <v>452</v>
      </c>
      <c r="AG113" s="36" t="s">
        <v>638</v>
      </c>
      <c r="AH113" s="36" t="s">
        <v>206</v>
      </c>
      <c r="AI113" s="36" t="s">
        <v>278</v>
      </c>
      <c r="AJ113" s="36" t="s">
        <v>207</v>
      </c>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46.5" x14ac:dyDescent="0.3">
      <c r="B114" s="45" t="s">
        <v>528</v>
      </c>
      <c r="C114" s="175" t="str">
        <f>IF(ISNUMBER(C87),C87,"")</f>
        <v/>
      </c>
      <c r="D114" s="113" t="str">
        <f>D87</f>
        <v>m3rtr</v>
      </c>
      <c r="G114" s="367" t="str">
        <f>IF(ISNUMBER(G87),G87,"")</f>
        <v/>
      </c>
      <c r="H114" s="84" t="str">
        <f>IF(D114="t","t/t","t/m3")</f>
        <v>t/m3</v>
      </c>
      <c r="I114" s="84"/>
      <c r="J114" s="173" t="s">
        <v>441</v>
      </c>
      <c r="K114" s="96">
        <f>IF(ISNUMBER(L114),L114,IF(OR(C115=Pudotusvalikot!$D$14,C115=Pudotusvalikot!$D$15),Kalusto!$G$96,VLOOKUP(C115,Kalusto!$C$44:$G$83,5,FALSE))*IF(OR(C116=Pudotusvalikot!$V$3,C116=Pudotusvalikot!$V$4),Muut!$E$38,IF(C116=Pudotusvalikot!$V$5,Muut!$E$39,IF(C116=Pudotusvalikot!$V$6,Muut!$E$40,Muut!$E$41))))</f>
        <v>6.1090000000000005E-2</v>
      </c>
      <c r="L114" s="40"/>
      <c r="M114" s="41" t="s">
        <v>200</v>
      </c>
      <c r="N114" s="41"/>
      <c r="O114" s="256"/>
      <c r="P114" s="149"/>
      <c r="Q114" s="104"/>
      <c r="R114" s="50" t="str">
        <f ca="1">IF(AND(NOT(ISNUMBER(AB114)),NOT(ISNUMBER(AG114))),"",IF(ISNUMBER(AB114),AB114,0)+IF(ISNUMBER(AG114),AG114,0))</f>
        <v/>
      </c>
      <c r="S114" s="102" t="s">
        <v>172</v>
      </c>
      <c r="T114" s="48" t="str">
        <f>IF(ISNUMBER(L114),"Kohdetieto",IF(OR(C115=Pudotusvalikot!$D$14,C115=Pudotusvalikot!$D$15),Kalusto!$I$96,VLOOKUP(C115,Kalusto!$C$44:$L$83,7,FALSE)))</f>
        <v>Maansiirtoauto</v>
      </c>
      <c r="U114" s="48">
        <f>IF(ISNUMBER(L114),"Kohdetieto",IF(OR(C115=Pudotusvalikot!$D$14,C115=Pudotusvalikot!$D$15),Kalusto!$J$96,VLOOKUP(C115,Kalusto!$C$44:$L$83,8,FALSE)))</f>
        <v>32</v>
      </c>
      <c r="V114" s="49">
        <f>IF(ISNUMBER(L114),"Kohdetieto",IF(OR(C115=Pudotusvalikot!$D$14,C115=Pudotusvalikot!$D$15),Kalusto!$K$96,VLOOKUP(C115,Kalusto!$C$44:$L$83,9,FALSE)))</f>
        <v>0.8</v>
      </c>
      <c r="W114" s="49" t="str">
        <f>IF(ISNUMBER(L114),"Kohdetieto",IF(OR(C115=Pudotusvalikot!$D$14,C115=Pudotusvalikot!$D$15),Kalusto!$L$96,VLOOKUP(C115,Kalusto!$C$44:$L$83,10,FALSE)))</f>
        <v>maantieajo</v>
      </c>
      <c r="X114" s="50" t="str">
        <f>IF(ISBLANK(C114),"",IF(D114="t",C114,IF(ISNUMBER(C114*G114),C114*G114,"")))</f>
        <v/>
      </c>
      <c r="Y114" s="48" t="str">
        <f>IF(ISNUMBER(C117),C117,"")</f>
        <v/>
      </c>
      <c r="Z114" s="50" t="str">
        <f>IF(ISNUMBER(X114/(U114*V114)*Y114),X114/(U114*V114)*Y114,"")</f>
        <v/>
      </c>
      <c r="AA114" s="51">
        <f>IF(ISNUMBER(L114),L114,K114)</f>
        <v>6.1090000000000005E-2</v>
      </c>
      <c r="AB114" s="50" t="str">
        <f>IF(ISNUMBER(Y114*X114*K114),Y114*X114*K114,"")</f>
        <v/>
      </c>
      <c r="AC114" s="50" t="str">
        <f>IF(C119="Kyllä",Y114,"")</f>
        <v/>
      </c>
      <c r="AD114" s="50" t="str">
        <f>IF(C119="Kyllä",IF(ISNUMBER(X114/(U114*V114)),X114/(U114*V114),""),"")</f>
        <v/>
      </c>
      <c r="AE114" s="50" t="str">
        <f>IF(ISNUMBER(AD114*AC114),AD114*AC114,"")</f>
        <v/>
      </c>
      <c r="AF114" s="51">
        <f ca="1">IF(ISNUMBER(L115),L115,K115)</f>
        <v>0.71940999999999999</v>
      </c>
      <c r="AG114" s="50" t="str">
        <f ca="1">IF(ISNUMBER(AC114*AD114*K115),AC114*AD114*K115,"")</f>
        <v/>
      </c>
      <c r="AH114" s="48">
        <f>IF(T114="Jakelukuorma-auto",0,IF(T114="Maansiirtoauto",4,IF(T114="Puoliperävaunu",6,8)))</f>
        <v>4</v>
      </c>
      <c r="AI114" s="48">
        <f>IF(AND(T114="Jakelukuorma-auto",U114=6),0,IF(AND(T114="Jakelukuorma-auto",U114=15),2,0))</f>
        <v>0</v>
      </c>
      <c r="AJ114" s="48">
        <f>IF(W114="maantieajo",0,1)</f>
        <v>0</v>
      </c>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46.5" x14ac:dyDescent="0.3">
      <c r="B115" s="170" t="s">
        <v>512</v>
      </c>
      <c r="C115" s="392" t="s">
        <v>84</v>
      </c>
      <c r="D115" s="393"/>
      <c r="E115" s="393"/>
      <c r="F115" s="393"/>
      <c r="G115" s="394"/>
      <c r="H115" s="84"/>
      <c r="I115" s="84"/>
      <c r="J115" s="33" t="s">
        <v>442</v>
      </c>
      <c r="K115" s="96">
        <f ca="1">IF(ISNUMBER(L115),L115,IF($C$140="Ei","",IF(AND($C$140="Kyllä",OR(C115=Pudotusvalikot!$D$14,C115=Pudotusvalikot!$D$15)),Kalusto!$G$97,OFFSET(Kalusto!$G$85,AH114+AJ114+AI114,0,1,1)))*IF(OR(C116=Pudotusvalikot!$V$3,C116=Pudotusvalikot!$V$4),Muut!$E$38,IF(C116=Pudotusvalikot!$V$5,Muut!$E$39,IF(C116=Pudotusvalikot!$V$6,Muut!$E$40,Muut!$E$41))))</f>
        <v>0.71940999999999999</v>
      </c>
      <c r="L115" s="40"/>
      <c r="M115" s="41" t="s">
        <v>204</v>
      </c>
      <c r="N115" s="41"/>
      <c r="O115" s="256"/>
      <c r="P115" s="147"/>
      <c r="Q115" s="105"/>
      <c r="R115" s="99"/>
      <c r="S115" s="36"/>
      <c r="T115" s="36"/>
      <c r="U115" s="36"/>
      <c r="V115" s="36"/>
      <c r="W115" s="36"/>
      <c r="X115" s="36"/>
      <c r="Y115" s="36"/>
      <c r="Z115" s="36"/>
      <c r="AA115" s="36"/>
      <c r="AB115" s="36"/>
      <c r="AC115" s="36"/>
      <c r="AD115" s="36"/>
      <c r="AE115" s="36"/>
      <c r="AF115" s="36"/>
      <c r="AG115" s="36"/>
      <c r="AH115" s="36"/>
      <c r="AI115" s="36"/>
      <c r="AJ115" s="36"/>
      <c r="AK115" s="36"/>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15.5" x14ac:dyDescent="0.3">
      <c r="B116" s="186" t="s">
        <v>506</v>
      </c>
      <c r="C116" s="160" t="s">
        <v>242</v>
      </c>
      <c r="D116" s="34"/>
      <c r="E116" s="34"/>
      <c r="F116" s="34"/>
      <c r="G116" s="34"/>
      <c r="H116" s="59"/>
      <c r="J116" s="173"/>
      <c r="K116" s="173"/>
      <c r="L116" s="173"/>
      <c r="M116" s="41"/>
      <c r="N116" s="41"/>
      <c r="O116" s="256"/>
      <c r="Q116" s="47"/>
      <c r="R116" s="102"/>
      <c r="S116" s="102"/>
      <c r="T116" s="36"/>
      <c r="U116" s="36"/>
      <c r="V116" s="181"/>
      <c r="W116" s="181"/>
      <c r="X116" s="61"/>
      <c r="Y116" s="36"/>
      <c r="Z116" s="61"/>
      <c r="AA116" s="182"/>
      <c r="AB116" s="61"/>
      <c r="AC116" s="61"/>
      <c r="AD116" s="61"/>
      <c r="AE116" s="61"/>
      <c r="AF116" s="182"/>
      <c r="AG116" s="61"/>
      <c r="AH116" s="36"/>
      <c r="AI116" s="36"/>
      <c r="AJ116" s="36"/>
      <c r="AK116" s="108"/>
      <c r="AL116" s="36"/>
      <c r="AM116" s="36"/>
      <c r="AN116" s="37"/>
      <c r="AO116" s="37"/>
      <c r="AP116" s="37"/>
      <c r="AQ116" s="37"/>
      <c r="AR116" s="37"/>
      <c r="AS116" s="37"/>
      <c r="AT116" s="37"/>
      <c r="AU116" s="37"/>
      <c r="AV116" s="37"/>
      <c r="AW116" s="37"/>
      <c r="AX116" s="37"/>
      <c r="AY116" s="37"/>
      <c r="AZ116" s="37"/>
      <c r="BA116" s="37"/>
      <c r="BB116" s="37"/>
      <c r="BC116" s="37"/>
      <c r="BD116" s="37"/>
      <c r="BE116" s="37"/>
    </row>
    <row r="117" spans="2:59" s="31" customFormat="1" ht="15.5" x14ac:dyDescent="0.3">
      <c r="B117" s="45" t="s">
        <v>525</v>
      </c>
      <c r="C117" s="162"/>
      <c r="D117" s="84" t="s">
        <v>5</v>
      </c>
      <c r="G117" s="34"/>
      <c r="H117" s="84"/>
      <c r="I117" s="84"/>
      <c r="J117" s="33"/>
      <c r="K117" s="34"/>
      <c r="L117" s="34"/>
      <c r="M117" s="84"/>
      <c r="N117" s="84"/>
      <c r="O117" s="257"/>
      <c r="P117" s="150"/>
      <c r="Q117" s="105"/>
      <c r="R117" s="99"/>
      <c r="S117" s="36"/>
      <c r="T117" s="36"/>
      <c r="U117" s="36"/>
      <c r="V117" s="36"/>
      <c r="W117" s="36"/>
      <c r="X117" s="36"/>
      <c r="Y117" s="36"/>
      <c r="Z117" s="36"/>
      <c r="AA117" s="36"/>
      <c r="AB117" s="36"/>
      <c r="AC117" s="36"/>
      <c r="AD117" s="36"/>
      <c r="AE117" s="36"/>
      <c r="AF117" s="36"/>
      <c r="AG117" s="36"/>
      <c r="AH117" s="36"/>
      <c r="AI117" s="36"/>
      <c r="AJ117" s="36"/>
      <c r="AK117" s="36"/>
      <c r="AL117" s="36"/>
      <c r="AM117" s="36"/>
      <c r="AN117" s="37"/>
      <c r="AO117" s="37"/>
      <c r="AP117" s="37"/>
      <c r="AQ117" s="37"/>
      <c r="AR117" s="37"/>
      <c r="AS117" s="37"/>
      <c r="AT117" s="37"/>
      <c r="AU117" s="37"/>
      <c r="AV117" s="37"/>
      <c r="AW117" s="37"/>
      <c r="AX117" s="37"/>
      <c r="AY117" s="37"/>
      <c r="AZ117" s="37"/>
      <c r="BA117" s="37"/>
      <c r="BB117" s="37"/>
      <c r="BC117" s="37"/>
      <c r="BD117" s="37"/>
      <c r="BE117" s="37"/>
      <c r="BF117" s="108"/>
      <c r="BG117" s="108"/>
    </row>
    <row r="118" spans="2:59" s="31" customFormat="1" ht="15.5" x14ac:dyDescent="0.3">
      <c r="C118" s="34"/>
      <c r="D118" s="84"/>
      <c r="G118" s="34"/>
      <c r="H118" s="84"/>
      <c r="I118" s="84"/>
      <c r="J118" s="33"/>
      <c r="K118" s="34"/>
      <c r="L118" s="34"/>
      <c r="M118" s="84"/>
      <c r="N118" s="84"/>
      <c r="O118" s="257"/>
      <c r="P118" s="69"/>
      <c r="Q118" s="37"/>
      <c r="R118" s="99"/>
      <c r="S118" s="36"/>
      <c r="T118" s="36"/>
      <c r="U118" s="36"/>
      <c r="V118" s="36"/>
      <c r="W118" s="36"/>
      <c r="X118" s="36"/>
      <c r="Y118" s="36"/>
      <c r="Z118" s="36"/>
      <c r="AA118" s="36"/>
      <c r="AB118" s="36"/>
      <c r="AC118" s="36"/>
      <c r="AD118" s="36"/>
      <c r="AE118" s="36"/>
      <c r="AF118" s="36"/>
      <c r="AG118" s="36"/>
      <c r="AH118" s="36"/>
      <c r="AI118" s="36"/>
      <c r="AJ118" s="36"/>
      <c r="AK118" s="36"/>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46.5" x14ac:dyDescent="0.3">
      <c r="B119" s="78" t="s">
        <v>668</v>
      </c>
      <c r="C119" s="392" t="s">
        <v>6</v>
      </c>
      <c r="D119" s="394"/>
      <c r="G119" s="34"/>
      <c r="H119" s="84"/>
      <c r="J119" s="33"/>
      <c r="K119" s="34"/>
      <c r="L119" s="34"/>
      <c r="M119" s="84"/>
      <c r="N119" s="84"/>
      <c r="O119" s="257"/>
      <c r="P119" s="69"/>
      <c r="Q119" s="37"/>
      <c r="R119" s="99"/>
      <c r="S119" s="36"/>
      <c r="T119" s="36"/>
      <c r="U119" s="36"/>
      <c r="V119" s="36"/>
      <c r="W119" s="36"/>
      <c r="X119" s="36"/>
      <c r="Y119" s="36"/>
      <c r="Z119" s="36"/>
      <c r="AA119" s="36"/>
      <c r="AB119" s="36"/>
      <c r="AC119" s="36"/>
      <c r="AD119" s="36"/>
      <c r="AE119" s="36"/>
      <c r="AF119" s="36"/>
      <c r="AG119" s="36"/>
      <c r="AH119" s="36"/>
      <c r="AI119" s="36"/>
      <c r="AJ119" s="36"/>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15.5" x14ac:dyDescent="0.3">
      <c r="C120" s="34"/>
      <c r="D120" s="84"/>
      <c r="G120" s="34"/>
      <c r="H120" s="84"/>
      <c r="J120" s="33"/>
      <c r="K120" s="34"/>
      <c r="L120" s="34"/>
      <c r="M120" s="84"/>
      <c r="N120" s="84"/>
      <c r="O120" s="255"/>
      <c r="P120" s="69"/>
      <c r="Q120" s="37"/>
      <c r="R120" s="99"/>
      <c r="S120" s="36"/>
      <c r="T120" s="36"/>
      <c r="U120" s="36"/>
      <c r="V120" s="36"/>
      <c r="W120" s="36"/>
      <c r="X120" s="36"/>
      <c r="Y120" s="36"/>
      <c r="Z120" s="36"/>
      <c r="AA120" s="36"/>
      <c r="AB120" s="36"/>
      <c r="AC120" s="36"/>
      <c r="AD120" s="36"/>
      <c r="AE120" s="36"/>
      <c r="AF120" s="36"/>
      <c r="AG120" s="36"/>
      <c r="AH120" s="36"/>
      <c r="AI120" s="36"/>
      <c r="AJ120" s="36"/>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07" customFormat="1" ht="18" x14ac:dyDescent="0.3">
      <c r="B121" s="295" t="s">
        <v>482</v>
      </c>
      <c r="C121" s="305"/>
      <c r="D121" s="306"/>
      <c r="G121" s="305"/>
      <c r="H121" s="306"/>
      <c r="J121" s="308"/>
      <c r="K121" s="305"/>
      <c r="L121" s="305"/>
      <c r="M121" s="306"/>
      <c r="N121" s="306"/>
      <c r="O121" s="309"/>
      <c r="Q121" s="310"/>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2"/>
      <c r="AO121" s="312"/>
      <c r="AP121" s="312"/>
      <c r="AQ121" s="312"/>
      <c r="AR121" s="312"/>
      <c r="AS121" s="312"/>
      <c r="AT121" s="312"/>
      <c r="AU121" s="312"/>
      <c r="AV121" s="312"/>
      <c r="AW121" s="312"/>
      <c r="AX121" s="312"/>
      <c r="AY121" s="312"/>
      <c r="AZ121" s="312"/>
      <c r="BA121" s="312"/>
      <c r="BB121" s="312"/>
      <c r="BC121" s="312"/>
      <c r="BD121" s="312"/>
      <c r="BE121" s="312"/>
    </row>
    <row r="122" spans="2:59" s="31" customFormat="1" ht="77.5" x14ac:dyDescent="0.3">
      <c r="B122" s="9"/>
      <c r="C122" s="34" t="s">
        <v>50</v>
      </c>
      <c r="D122" s="84"/>
      <c r="G122" s="38" t="s">
        <v>529</v>
      </c>
      <c r="H122" s="84"/>
      <c r="J122" s="33"/>
      <c r="K122" s="38" t="s">
        <v>329</v>
      </c>
      <c r="L122" s="38" t="s">
        <v>201</v>
      </c>
      <c r="O122" s="255" t="s">
        <v>644</v>
      </c>
      <c r="P122" s="148"/>
      <c r="Q122" s="108"/>
      <c r="R122" s="36" t="s">
        <v>350</v>
      </c>
      <c r="S122" s="36"/>
      <c r="T122" s="36" t="s">
        <v>469</v>
      </c>
      <c r="U122" s="36" t="s">
        <v>351</v>
      </c>
      <c r="V122" s="36" t="s">
        <v>352</v>
      </c>
      <c r="W122" s="108"/>
      <c r="X122" s="108"/>
      <c r="Y122" s="36"/>
      <c r="Z122" s="36"/>
      <c r="AA122" s="36"/>
      <c r="AB122" s="36"/>
      <c r="AC122" s="36"/>
      <c r="AD122" s="36"/>
      <c r="AE122" s="36"/>
      <c r="AF122" s="36"/>
      <c r="AG122" s="36"/>
      <c r="AH122" s="36"/>
      <c r="AI122" s="36"/>
      <c r="AJ122" s="36"/>
      <c r="AK122" s="36"/>
      <c r="AL122" s="36"/>
      <c r="AM122" s="36"/>
      <c r="AN122" s="36"/>
      <c r="AO122" s="36"/>
      <c r="AP122" s="37"/>
      <c r="AQ122" s="37"/>
      <c r="AR122" s="37"/>
      <c r="AS122" s="37"/>
      <c r="AT122" s="37"/>
      <c r="AU122" s="37"/>
      <c r="AV122" s="37"/>
      <c r="AW122" s="37"/>
      <c r="AX122" s="37"/>
      <c r="AY122" s="37"/>
      <c r="AZ122" s="37"/>
      <c r="BA122" s="37"/>
      <c r="BB122" s="37"/>
      <c r="BC122" s="37"/>
      <c r="BD122" s="37"/>
      <c r="BE122" s="37"/>
      <c r="BF122" s="37"/>
      <c r="BG122" s="37"/>
    </row>
    <row r="123" spans="2:59" s="31" customFormat="1" ht="31" x14ac:dyDescent="0.3">
      <c r="B123" s="78" t="s">
        <v>477</v>
      </c>
      <c r="C123" s="160">
        <f>SUM(C83:C89)</f>
        <v>0</v>
      </c>
      <c r="D123" s="84" t="s">
        <v>175</v>
      </c>
      <c r="G123" s="175">
        <f>IF(ISNUMBER(SUM(V83:V87)),SUM(V83:V87),"")</f>
        <v>0</v>
      </c>
      <c r="H123" s="84"/>
      <c r="J123" s="33" t="s">
        <v>470</v>
      </c>
      <c r="K123" s="138">
        <f>IF(ISNUMBER(L123),L123,IF(OR(C124=Pudotusvalikot!$D$67,C124=Pudotusvalikot!$D$68),"--",VLOOKUP(C124,Kalusto!$C$5:$E$42,3,FALSE)*IF(OR(C125=Pudotusvalikot!$V$3,C125=Pudotusvalikot!$V$4),Muut!$E$38,IF(C125=Pudotusvalikot!$V$5,Muut!$E$39,IF(C125=Pudotusvalikot!$V$6,Muut!$E$40,Muut!$E$41)))))</f>
        <v>34.130000000000003</v>
      </c>
      <c r="L123" s="63"/>
      <c r="M123" s="41" t="s">
        <v>205</v>
      </c>
      <c r="N123" s="41"/>
      <c r="O123" s="256"/>
      <c r="P123" s="151"/>
      <c r="Q123" s="108"/>
      <c r="R123" s="50" t="str">
        <f>IF(ISNUMBER(K123*V123),K123*V123,"")</f>
        <v/>
      </c>
      <c r="S123" s="102" t="s">
        <v>172</v>
      </c>
      <c r="T123" s="50">
        <f>IF(ISNUMBER(C123),C123,IF(ISNUMBER(G123),G123,""))</f>
        <v>0</v>
      </c>
      <c r="U123" s="64" t="str">
        <f>IF(D126="h","",IF(ISNUMBER(C126),C126,""))</f>
        <v/>
      </c>
      <c r="V123" s="50" t="str">
        <f>IF(ISNUMBER(T123),IF(D126="h",D126,IF(ISNUMBER(T123*U123),IF(D126="m3/h",T123/U123,T123*U123),"")),"")</f>
        <v/>
      </c>
      <c r="W123" s="108"/>
      <c r="X123" s="108"/>
      <c r="Y123" s="108"/>
      <c r="Z123" s="61"/>
      <c r="AA123" s="36"/>
      <c r="AB123" s="36"/>
      <c r="AC123" s="62"/>
      <c r="AD123" s="36"/>
      <c r="AE123" s="36"/>
      <c r="AF123" s="36"/>
      <c r="AG123" s="36"/>
      <c r="AH123" s="36"/>
      <c r="AI123" s="36"/>
      <c r="AJ123" s="36"/>
      <c r="AK123" s="36"/>
      <c r="AL123" s="36"/>
      <c r="AM123" s="36"/>
      <c r="AN123" s="36"/>
      <c r="AO123" s="36"/>
      <c r="AP123" s="37"/>
      <c r="AQ123" s="37"/>
      <c r="AR123" s="37"/>
      <c r="AS123" s="37"/>
      <c r="AT123" s="37"/>
      <c r="AU123" s="37"/>
      <c r="AV123" s="37"/>
      <c r="AW123" s="37"/>
      <c r="AX123" s="37"/>
      <c r="AY123" s="37"/>
      <c r="AZ123" s="37"/>
      <c r="BA123" s="37"/>
      <c r="BB123" s="37"/>
      <c r="BC123" s="37"/>
      <c r="BD123" s="37"/>
      <c r="BE123" s="37"/>
      <c r="BF123" s="37"/>
      <c r="BG123" s="37"/>
    </row>
    <row r="124" spans="2:59" s="31" customFormat="1" ht="15.5" x14ac:dyDescent="0.3">
      <c r="B124" s="54" t="s">
        <v>510</v>
      </c>
      <c r="C124" s="392" t="s">
        <v>128</v>
      </c>
      <c r="D124" s="393"/>
      <c r="E124" s="393"/>
      <c r="F124" s="393"/>
      <c r="G124" s="394"/>
      <c r="H124" s="84"/>
      <c r="J124" s="33"/>
      <c r="O124" s="264"/>
      <c r="P124" s="69"/>
      <c r="Q124" s="108"/>
      <c r="R124" s="98"/>
      <c r="S124" s="108"/>
      <c r="T124" s="37"/>
      <c r="U124" s="36"/>
      <c r="V124" s="36"/>
      <c r="W124" s="36"/>
      <c r="X124" s="36"/>
      <c r="Y124" s="36"/>
      <c r="Z124" s="36"/>
      <c r="AA124" s="36"/>
      <c r="AB124" s="36"/>
      <c r="AC124" s="36"/>
      <c r="AD124" s="36"/>
      <c r="AE124" s="36"/>
      <c r="AF124" s="36"/>
      <c r="AG124" s="36"/>
      <c r="AH124" s="36"/>
      <c r="AI124" s="36"/>
      <c r="AJ124" s="36"/>
      <c r="AK124" s="36"/>
      <c r="AL124" s="36"/>
      <c r="AM124" s="36"/>
      <c r="AN124" s="36"/>
      <c r="AO124" s="36"/>
      <c r="AP124" s="37"/>
      <c r="AQ124" s="37"/>
      <c r="AR124" s="37"/>
      <c r="AS124" s="37"/>
      <c r="AT124" s="37"/>
      <c r="AU124" s="37"/>
      <c r="AV124" s="37"/>
      <c r="AW124" s="37"/>
      <c r="AX124" s="37"/>
      <c r="AY124" s="37"/>
      <c r="AZ124" s="37"/>
      <c r="BA124" s="37"/>
      <c r="BB124" s="37"/>
      <c r="BC124" s="37"/>
      <c r="BD124" s="37"/>
      <c r="BE124" s="37"/>
      <c r="BF124" s="37"/>
      <c r="BG124" s="37"/>
    </row>
    <row r="125" spans="2:59" s="31" customFormat="1" ht="15.5" x14ac:dyDescent="0.3">
      <c r="B125" s="170" t="s">
        <v>509</v>
      </c>
      <c r="C125" s="160" t="s">
        <v>242</v>
      </c>
      <c r="D125" s="34"/>
      <c r="E125" s="34"/>
      <c r="F125" s="34"/>
      <c r="G125" s="34"/>
      <c r="H125" s="59"/>
      <c r="J125" s="173"/>
      <c r="K125" s="173"/>
      <c r="L125" s="173"/>
      <c r="M125" s="41"/>
      <c r="N125" s="41"/>
      <c r="O125" s="256"/>
      <c r="Q125" s="47"/>
      <c r="R125" s="61"/>
      <c r="S125" s="102"/>
      <c r="T125" s="36"/>
      <c r="U125" s="36"/>
      <c r="V125" s="181"/>
      <c r="W125" s="181"/>
      <c r="X125" s="61"/>
      <c r="Y125" s="36"/>
      <c r="Z125" s="61"/>
      <c r="AA125" s="182"/>
      <c r="AB125" s="61"/>
      <c r="AC125" s="61"/>
      <c r="AD125" s="61"/>
      <c r="AE125" s="61"/>
      <c r="AF125" s="182"/>
      <c r="AG125" s="61"/>
      <c r="AH125" s="36"/>
      <c r="AI125" s="36"/>
      <c r="AJ125" s="36"/>
      <c r="AK125" s="108"/>
      <c r="AL125" s="36"/>
      <c r="AM125" s="36"/>
      <c r="AN125" s="37"/>
      <c r="AO125" s="37"/>
      <c r="AP125" s="37"/>
      <c r="AQ125" s="37"/>
      <c r="AR125" s="37"/>
      <c r="AS125" s="37"/>
      <c r="AT125" s="37"/>
      <c r="AU125" s="37"/>
      <c r="AV125" s="37"/>
      <c r="AW125" s="37"/>
      <c r="AX125" s="37"/>
      <c r="AY125" s="37"/>
      <c r="AZ125" s="37"/>
      <c r="BA125" s="37"/>
      <c r="BB125" s="37"/>
      <c r="BC125" s="37"/>
      <c r="BD125" s="37"/>
      <c r="BE125" s="37"/>
    </row>
    <row r="126" spans="2:59" s="31" customFormat="1" ht="31" x14ac:dyDescent="0.3">
      <c r="B126" s="78" t="s">
        <v>511</v>
      </c>
      <c r="C126" s="193"/>
      <c r="D126" s="89" t="s">
        <v>209</v>
      </c>
      <c r="G126" s="34"/>
      <c r="H126" s="84"/>
      <c r="J126" s="33"/>
      <c r="O126" s="264"/>
      <c r="P126" s="69"/>
      <c r="Q126" s="108"/>
      <c r="R126" s="98"/>
      <c r="S126" s="108"/>
      <c r="T126" s="37"/>
      <c r="U126" s="36"/>
      <c r="V126" s="36"/>
      <c r="W126" s="36"/>
      <c r="X126" s="36"/>
      <c r="Y126" s="36"/>
      <c r="Z126" s="36"/>
      <c r="AA126" s="36"/>
      <c r="AB126" s="36"/>
      <c r="AC126" s="36"/>
      <c r="AD126" s="36"/>
      <c r="AE126" s="36"/>
      <c r="AF126" s="36"/>
      <c r="AG126" s="36"/>
      <c r="AH126" s="36"/>
      <c r="AI126" s="36"/>
      <c r="AJ126" s="36"/>
      <c r="AK126" s="36"/>
      <c r="AL126" s="36"/>
      <c r="AM126" s="36"/>
      <c r="AN126" s="36"/>
      <c r="AO126" s="36"/>
      <c r="AP126" s="37"/>
      <c r="AQ126" s="37"/>
      <c r="AR126" s="37"/>
      <c r="AS126" s="37"/>
      <c r="AT126" s="37"/>
      <c r="AU126" s="37"/>
      <c r="AV126" s="37"/>
      <c r="AW126" s="37"/>
      <c r="AX126" s="37"/>
      <c r="AY126" s="37"/>
      <c r="AZ126" s="37"/>
      <c r="BA126" s="37"/>
      <c r="BB126" s="37"/>
      <c r="BC126" s="37"/>
      <c r="BD126" s="37"/>
      <c r="BE126" s="37"/>
      <c r="BF126" s="37"/>
      <c r="BG126" s="37"/>
    </row>
    <row r="127" spans="2:59" s="31" customFormat="1" ht="15.5" x14ac:dyDescent="0.3">
      <c r="C127" s="34"/>
      <c r="D127" s="84"/>
      <c r="G127" s="34"/>
      <c r="H127" s="84"/>
      <c r="J127" s="33"/>
      <c r="O127" s="171"/>
      <c r="P127" s="69"/>
      <c r="Q127" s="108"/>
      <c r="R127" s="98"/>
      <c r="S127" s="108"/>
      <c r="T127" s="37"/>
      <c r="U127" s="36"/>
      <c r="V127" s="36"/>
      <c r="W127" s="36"/>
      <c r="X127" s="36"/>
      <c r="Y127" s="36"/>
      <c r="Z127" s="36"/>
      <c r="AA127" s="36"/>
      <c r="AB127" s="36"/>
      <c r="AC127" s="36"/>
      <c r="AD127" s="36"/>
      <c r="AE127" s="36"/>
      <c r="AF127" s="36"/>
      <c r="AG127" s="36"/>
      <c r="AH127" s="36"/>
      <c r="AI127" s="36"/>
      <c r="AJ127" s="36"/>
      <c r="AK127" s="36"/>
      <c r="AL127" s="36"/>
      <c r="AM127" s="36"/>
      <c r="AN127" s="36"/>
      <c r="AO127" s="36"/>
      <c r="AP127" s="37"/>
      <c r="AQ127" s="37"/>
      <c r="AR127" s="37"/>
      <c r="AS127" s="37"/>
      <c r="AT127" s="37"/>
      <c r="AU127" s="37"/>
      <c r="AV127" s="37"/>
      <c r="AW127" s="37"/>
      <c r="AX127" s="37"/>
      <c r="AY127" s="37"/>
      <c r="AZ127" s="37"/>
      <c r="BA127" s="37"/>
      <c r="BB127" s="37"/>
      <c r="BC127" s="37"/>
      <c r="BD127" s="37"/>
      <c r="BE127" s="37"/>
      <c r="BF127" s="37"/>
      <c r="BG127" s="37"/>
    </row>
    <row r="128" spans="2:59" s="307" customFormat="1" ht="18" x14ac:dyDescent="0.3">
      <c r="B128" s="295" t="s">
        <v>531</v>
      </c>
      <c r="D128" s="306"/>
      <c r="H128" s="306"/>
      <c r="J128" s="308"/>
      <c r="M128" s="306"/>
      <c r="N128" s="306"/>
      <c r="O128" s="309"/>
      <c r="P128" s="313"/>
      <c r="R128" s="312"/>
      <c r="S128" s="312"/>
      <c r="T128" s="312"/>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2"/>
      <c r="AQ128" s="312"/>
      <c r="AR128" s="312"/>
      <c r="AS128" s="312"/>
      <c r="AT128" s="312"/>
      <c r="AU128" s="312"/>
      <c r="AV128" s="312"/>
      <c r="AW128" s="312"/>
      <c r="AX128" s="312"/>
      <c r="AY128" s="312"/>
      <c r="AZ128" s="312"/>
      <c r="BA128" s="312"/>
      <c r="BB128" s="312"/>
      <c r="BC128" s="312"/>
      <c r="BD128" s="312"/>
      <c r="BE128" s="312"/>
      <c r="BF128" s="312"/>
      <c r="BG128" s="312"/>
    </row>
    <row r="129" spans="2:59" s="31" customFormat="1" ht="15.5" x14ac:dyDescent="0.3">
      <c r="B129" s="9"/>
      <c r="C129" s="34" t="s">
        <v>50</v>
      </c>
      <c r="D129" s="84"/>
      <c r="H129" s="84"/>
      <c r="J129" s="33"/>
      <c r="K129" s="38" t="s">
        <v>329</v>
      </c>
      <c r="L129" s="38" t="s">
        <v>201</v>
      </c>
      <c r="M129" s="84"/>
      <c r="N129" s="84"/>
      <c r="O129" s="255" t="s">
        <v>644</v>
      </c>
      <c r="P129" s="148"/>
      <c r="Q129" s="37"/>
      <c r="R129" s="36" t="s">
        <v>350</v>
      </c>
      <c r="S129" s="36"/>
      <c r="T129" s="36" t="s">
        <v>469</v>
      </c>
      <c r="U129" s="36" t="s">
        <v>351</v>
      </c>
      <c r="V129" s="36" t="s">
        <v>352</v>
      </c>
      <c r="W129" s="36"/>
      <c r="X129" s="36"/>
      <c r="Y129" s="36"/>
      <c r="Z129" s="36"/>
      <c r="AA129" s="36"/>
      <c r="AB129" s="36"/>
      <c r="AC129" s="36"/>
      <c r="AD129" s="36"/>
      <c r="AE129" s="36"/>
      <c r="AF129" s="36"/>
      <c r="AG129" s="36"/>
      <c r="AH129" s="36"/>
      <c r="AI129" s="36"/>
      <c r="AJ129" s="36"/>
      <c r="AK129" s="36"/>
      <c r="AL129" s="36"/>
      <c r="AM129" s="36"/>
      <c r="AN129" s="36"/>
      <c r="AO129" s="36"/>
      <c r="AP129" s="37"/>
      <c r="AQ129" s="37"/>
      <c r="AR129" s="37"/>
      <c r="AS129" s="37"/>
      <c r="AT129" s="37"/>
      <c r="AU129" s="37"/>
      <c r="AV129" s="37"/>
      <c r="AW129" s="37"/>
      <c r="AX129" s="37"/>
      <c r="AY129" s="37"/>
      <c r="AZ129" s="37"/>
      <c r="BA129" s="37"/>
      <c r="BB129" s="37"/>
      <c r="BC129" s="37"/>
      <c r="BD129" s="37"/>
      <c r="BE129" s="37"/>
      <c r="BF129" s="37"/>
      <c r="BG129" s="37"/>
    </row>
    <row r="130" spans="2:59" s="31" customFormat="1" ht="15.5" x14ac:dyDescent="0.3">
      <c r="B130" s="54" t="s">
        <v>691</v>
      </c>
      <c r="C130" s="183"/>
      <c r="D130" s="178" t="s">
        <v>175</v>
      </c>
      <c r="E130" s="59"/>
      <c r="H130" s="84"/>
      <c r="J130" s="33" t="s">
        <v>470</v>
      </c>
      <c r="K130" s="138">
        <f>IF(ISNUMBER(L130),L130,IF(OR(C131=Pudotusvalikot!$D$67,C131=Pudotusvalikot!$D$68),Kalusto!$E$9,VLOOKUP(C131,Kalusto!$C$5:$E$42,3,FALSE))*IF(OR(C132=Pudotusvalikot!$V$3,C132=Pudotusvalikot!$V$4),Muut!$E$38,IF(C132=Pudotusvalikot!$V$5,Muut!$E$39,IF(C132=Pudotusvalikot!$V$6,Muut!$E$40,Muut!$E$41))))</f>
        <v>20.61</v>
      </c>
      <c r="L130" s="40"/>
      <c r="M130" s="41" t="s">
        <v>205</v>
      </c>
      <c r="N130" s="41"/>
      <c r="O130" s="256"/>
      <c r="P130" s="151"/>
      <c r="Q130" s="37"/>
      <c r="R130" s="50" t="str">
        <f>IF(ISNUMBER(K130*V130),K130*V130,"")</f>
        <v/>
      </c>
      <c r="S130" s="102" t="s">
        <v>172</v>
      </c>
      <c r="T130" s="50" t="str">
        <f>IF(ISNUMBER(C130),C130,"")</f>
        <v/>
      </c>
      <c r="U130" s="64" t="str">
        <f>IF(D133="h","",IF(ISNUMBER(C133),C133,""))</f>
        <v/>
      </c>
      <c r="V130" s="50" t="str">
        <f>IF(ISNUMBER(T130),IF(D133="h",C133,IF(ISNUMBER(T130*U130),IF(D133="m3/h",T130/U130,T130*U130),"")),"")</f>
        <v/>
      </c>
      <c r="W130" s="61"/>
      <c r="X130" s="61"/>
      <c r="Y130" s="61"/>
      <c r="Z130" s="61"/>
      <c r="AA130" s="36"/>
      <c r="AB130" s="36"/>
      <c r="AC130" s="62"/>
      <c r="AD130" s="36"/>
      <c r="AE130" s="36"/>
      <c r="AF130" s="36"/>
      <c r="AG130" s="36"/>
      <c r="AH130" s="36"/>
      <c r="AI130" s="36"/>
      <c r="AJ130" s="36"/>
      <c r="AK130" s="36"/>
      <c r="AL130" s="36"/>
      <c r="AM130" s="36"/>
      <c r="AN130" s="36"/>
      <c r="AO130" s="36"/>
      <c r="AP130" s="37"/>
      <c r="AQ130" s="37"/>
      <c r="AR130" s="37"/>
      <c r="AS130" s="37"/>
      <c r="AT130" s="37"/>
      <c r="AU130" s="37"/>
      <c r="AV130" s="37"/>
      <c r="AW130" s="37"/>
      <c r="AX130" s="37"/>
      <c r="AY130" s="37"/>
      <c r="AZ130" s="37"/>
      <c r="BA130" s="37"/>
      <c r="BB130" s="37"/>
      <c r="BC130" s="37"/>
      <c r="BD130" s="37"/>
      <c r="BE130" s="37"/>
      <c r="BF130" s="37"/>
      <c r="BG130" s="37"/>
    </row>
    <row r="131" spans="2:59" s="31" customFormat="1" ht="15.5" x14ac:dyDescent="0.3">
      <c r="B131" s="54" t="s">
        <v>510</v>
      </c>
      <c r="C131" s="392" t="s">
        <v>143</v>
      </c>
      <c r="D131" s="393"/>
      <c r="E131" s="393"/>
      <c r="F131" s="393"/>
      <c r="G131" s="394"/>
      <c r="J131" s="33"/>
      <c r="K131" s="34"/>
      <c r="L131" s="34"/>
      <c r="M131" s="84"/>
      <c r="N131" s="84"/>
      <c r="O131" s="257"/>
      <c r="P131" s="147"/>
      <c r="Q131" s="105"/>
      <c r="R131" s="99"/>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7"/>
      <c r="AQ131" s="37"/>
      <c r="AR131" s="37"/>
      <c r="AS131" s="37"/>
      <c r="AT131" s="37"/>
      <c r="AU131" s="37"/>
      <c r="AV131" s="37"/>
      <c r="AW131" s="37"/>
      <c r="AX131" s="37"/>
      <c r="AY131" s="37"/>
      <c r="AZ131" s="37"/>
      <c r="BA131" s="37"/>
      <c r="BB131" s="37"/>
      <c r="BC131" s="37"/>
      <c r="BD131" s="37"/>
      <c r="BE131" s="37"/>
      <c r="BF131" s="37"/>
      <c r="BG131" s="37"/>
    </row>
    <row r="132" spans="2:59" s="31" customFormat="1" ht="15.5" x14ac:dyDescent="0.3">
      <c r="B132" s="170" t="s">
        <v>509</v>
      </c>
      <c r="C132" s="160" t="s">
        <v>242</v>
      </c>
      <c r="D132" s="34"/>
      <c r="E132" s="34"/>
      <c r="F132" s="34"/>
      <c r="G132" s="34"/>
      <c r="H132" s="59"/>
      <c r="J132" s="173"/>
      <c r="K132" s="173"/>
      <c r="L132" s="173"/>
      <c r="M132" s="41"/>
      <c r="N132" s="41"/>
      <c r="O132" s="256"/>
      <c r="Q132" s="47"/>
      <c r="R132" s="61"/>
      <c r="S132" s="102"/>
      <c r="T132" s="36"/>
      <c r="U132" s="36"/>
      <c r="V132" s="181"/>
      <c r="W132" s="181"/>
      <c r="X132" s="61"/>
      <c r="Y132" s="36"/>
      <c r="Z132" s="61"/>
      <c r="AA132" s="182"/>
      <c r="AB132" s="61"/>
      <c r="AC132" s="61"/>
      <c r="AD132" s="61"/>
      <c r="AE132" s="61"/>
      <c r="AF132" s="182"/>
      <c r="AG132" s="61"/>
      <c r="AH132" s="36"/>
      <c r="AI132" s="36"/>
      <c r="AJ132" s="36"/>
      <c r="AK132" s="108"/>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9" s="31" customFormat="1" ht="31" x14ac:dyDescent="0.3">
      <c r="B133" s="78" t="s">
        <v>511</v>
      </c>
      <c r="C133" s="184"/>
      <c r="D133" s="89" t="s">
        <v>209</v>
      </c>
      <c r="H133" s="84"/>
      <c r="J133" s="33"/>
      <c r="M133" s="84"/>
      <c r="N133" s="84"/>
      <c r="O133" s="257"/>
      <c r="P133" s="149"/>
      <c r="Q133" s="105"/>
      <c r="R133" s="99"/>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7"/>
      <c r="AQ133" s="37"/>
      <c r="AR133" s="37"/>
      <c r="AS133" s="37"/>
      <c r="AT133" s="37"/>
      <c r="AU133" s="37"/>
      <c r="AV133" s="37"/>
      <c r="AW133" s="37"/>
      <c r="AX133" s="37"/>
      <c r="AY133" s="37"/>
      <c r="AZ133" s="37"/>
      <c r="BA133" s="37"/>
      <c r="BB133" s="37"/>
      <c r="BC133" s="37"/>
      <c r="BD133" s="37"/>
      <c r="BE133" s="37"/>
      <c r="BF133" s="37"/>
      <c r="BG133" s="37"/>
    </row>
    <row r="134" spans="2:59" s="31" customFormat="1" ht="15.5" x14ac:dyDescent="0.3">
      <c r="C134" s="65"/>
      <c r="D134" s="84"/>
      <c r="H134" s="84"/>
      <c r="J134" s="33"/>
      <c r="M134" s="84"/>
      <c r="N134" s="84"/>
      <c r="O134" s="255"/>
      <c r="P134" s="69"/>
      <c r="Q134" s="37"/>
      <c r="R134" s="99"/>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7"/>
      <c r="AQ134" s="37"/>
      <c r="AR134" s="37"/>
      <c r="AS134" s="37"/>
      <c r="AT134" s="37"/>
      <c r="AU134" s="37"/>
      <c r="AV134" s="37"/>
      <c r="AW134" s="37"/>
      <c r="AX134" s="37"/>
      <c r="AY134" s="37"/>
      <c r="AZ134" s="37"/>
      <c r="BA134" s="37"/>
      <c r="BB134" s="37"/>
      <c r="BC134" s="37"/>
      <c r="BD134" s="37"/>
      <c r="BE134" s="37"/>
      <c r="BF134" s="37"/>
      <c r="BG134" s="37"/>
    </row>
    <row r="135" spans="2:59" s="307" customFormat="1" ht="18" x14ac:dyDescent="0.3">
      <c r="B135" s="295" t="s">
        <v>532</v>
      </c>
      <c r="D135" s="306"/>
      <c r="H135" s="306"/>
      <c r="J135" s="308"/>
      <c r="M135" s="306"/>
      <c r="N135" s="306"/>
      <c r="O135" s="309"/>
      <c r="P135" s="313"/>
      <c r="R135" s="312"/>
      <c r="S135" s="312"/>
      <c r="T135" s="312"/>
      <c r="U135" s="311"/>
      <c r="V135" s="311"/>
      <c r="W135" s="311"/>
      <c r="X135" s="311"/>
      <c r="Y135" s="311"/>
      <c r="Z135" s="311"/>
      <c r="AA135" s="311"/>
      <c r="AB135" s="311"/>
      <c r="AC135" s="311"/>
      <c r="AD135" s="311"/>
      <c r="AE135" s="311"/>
      <c r="AF135" s="311"/>
      <c r="AG135" s="311"/>
      <c r="AH135" s="311"/>
      <c r="AI135" s="311"/>
      <c r="AJ135" s="311"/>
      <c r="AK135" s="311"/>
      <c r="AL135" s="311"/>
      <c r="AM135" s="311"/>
      <c r="AN135" s="311"/>
      <c r="AO135" s="311"/>
      <c r="AP135" s="312"/>
      <c r="AQ135" s="312"/>
      <c r="AR135" s="312"/>
      <c r="AS135" s="312"/>
      <c r="AT135" s="312"/>
      <c r="AU135" s="312"/>
      <c r="AV135" s="312"/>
      <c r="AW135" s="312"/>
      <c r="AX135" s="312"/>
      <c r="AY135" s="312"/>
      <c r="AZ135" s="312"/>
      <c r="BA135" s="312"/>
      <c r="BB135" s="312"/>
      <c r="BC135" s="312"/>
      <c r="BD135" s="312"/>
      <c r="BE135" s="312"/>
      <c r="BF135" s="312"/>
      <c r="BG135" s="312"/>
    </row>
    <row r="136" spans="2:59" s="31" customFormat="1" ht="15.5" x14ac:dyDescent="0.3">
      <c r="B136" s="9"/>
      <c r="C136" s="80" t="s">
        <v>50</v>
      </c>
      <c r="D136" s="84"/>
      <c r="G136" s="38" t="s">
        <v>199</v>
      </c>
      <c r="H136" s="84"/>
      <c r="J136" s="33"/>
      <c r="K136" s="38" t="s">
        <v>329</v>
      </c>
      <c r="L136" s="38" t="s">
        <v>201</v>
      </c>
      <c r="M136" s="38"/>
      <c r="N136" s="38"/>
      <c r="O136" s="255" t="s">
        <v>644</v>
      </c>
      <c r="P136" s="69"/>
      <c r="Q136" s="108"/>
      <c r="R136" s="36" t="s">
        <v>350</v>
      </c>
      <c r="S136" s="108"/>
      <c r="T136" s="36" t="s">
        <v>446</v>
      </c>
      <c r="U136" s="36" t="s">
        <v>445</v>
      </c>
      <c r="V136" s="36" t="s">
        <v>443</v>
      </c>
      <c r="W136" s="36" t="s">
        <v>444</v>
      </c>
      <c r="X136" s="36" t="s">
        <v>447</v>
      </c>
      <c r="Y136" s="36" t="s">
        <v>449</v>
      </c>
      <c r="Z136" s="36" t="s">
        <v>448</v>
      </c>
      <c r="AA136" s="36" t="s">
        <v>202</v>
      </c>
      <c r="AB136" s="36" t="s">
        <v>380</v>
      </c>
      <c r="AC136" s="36" t="s">
        <v>450</v>
      </c>
      <c r="AD136" s="36" t="s">
        <v>381</v>
      </c>
      <c r="AE136" s="36" t="s">
        <v>451</v>
      </c>
      <c r="AF136" s="36" t="s">
        <v>452</v>
      </c>
      <c r="AG136" s="36" t="s">
        <v>638</v>
      </c>
      <c r="AH136" s="36" t="s">
        <v>206</v>
      </c>
      <c r="AI136" s="36" t="s">
        <v>278</v>
      </c>
      <c r="AJ136" s="36" t="s">
        <v>207</v>
      </c>
      <c r="AK136" s="108"/>
      <c r="AL136" s="108"/>
      <c r="AM136" s="108"/>
      <c r="AN136" s="36"/>
      <c r="AO136" s="36"/>
      <c r="AP136" s="36"/>
      <c r="AQ136" s="37"/>
      <c r="AR136" s="37"/>
      <c r="AS136" s="37"/>
      <c r="AT136" s="37"/>
      <c r="AU136" s="37"/>
      <c r="AV136" s="37"/>
      <c r="AW136" s="37"/>
      <c r="AX136" s="37"/>
      <c r="AY136" s="37"/>
      <c r="AZ136" s="37"/>
      <c r="BA136" s="37"/>
      <c r="BB136" s="37"/>
      <c r="BC136" s="37"/>
      <c r="BD136" s="37"/>
      <c r="BE136" s="37"/>
      <c r="BF136" s="37"/>
      <c r="BG136" s="37"/>
    </row>
    <row r="137" spans="2:59" s="31" customFormat="1" ht="46.5" x14ac:dyDescent="0.3">
      <c r="B137" s="54" t="s">
        <v>471</v>
      </c>
      <c r="C137" s="194"/>
      <c r="D137" s="84" t="s">
        <v>110</v>
      </c>
      <c r="G137" s="160"/>
      <c r="H137" s="84" t="s">
        <v>177</v>
      </c>
      <c r="J137" s="173" t="s">
        <v>441</v>
      </c>
      <c r="K137" s="96">
        <f>IF(ISNUMBER(L137),L137,IF(OR(C138=Pudotusvalikot!$D$14,C138=Pudotusvalikot!$D$15),Kalusto!$G$96,VLOOKUP(C138,Kalusto!$C$44:$G$83,5,FALSE))*IF(OR(C139=Pudotusvalikot!$V$3,C139=Pudotusvalikot!$V$4),Muut!$E$38,IF(C139=Pudotusvalikot!$V$5,Muut!$E$39,IF(C139=Pudotusvalikot!$V$6,Muut!$E$40,Muut!$E$41))))</f>
        <v>0.10814</v>
      </c>
      <c r="L137" s="40"/>
      <c r="M137" s="41" t="s">
        <v>200</v>
      </c>
      <c r="N137" s="41"/>
      <c r="O137" s="256"/>
      <c r="P137" s="69"/>
      <c r="Q137" s="108"/>
      <c r="R137" s="50" t="str">
        <f>IF(AND(NOT(ISNUMBER(AB137)),NOT(ISNUMBER(AG137))),"",IF(ISNUMBER(AB137),AB137,0)+IF(ISNUMBER(AG137),AG137,0))</f>
        <v/>
      </c>
      <c r="S137" s="102" t="s">
        <v>172</v>
      </c>
      <c r="T137" s="48" t="str">
        <f>IF(ISNUMBER(L137),"Kohdetieto",IF(OR(C138=Pudotusvalikot!$D$14,C138=Pudotusvalikot!$D$15),Kalusto!$I$96,VLOOKUP(C138,Kalusto!$C$44:$L$83,7,FALSE)))</f>
        <v>Maansiirtoauto</v>
      </c>
      <c r="U137" s="48">
        <f>IF(ISNUMBER(L137),"Kohdetieto",IF(OR(C138=Pudotusvalikot!$D$14,C138=Pudotusvalikot!$D$15),Kalusto!$J$96,VLOOKUP(C138,Kalusto!$C$44:$L$83,8,FALSE)))</f>
        <v>32</v>
      </c>
      <c r="V137" s="49">
        <f>IF(ISNUMBER(L137),"Kohdetieto",IF(OR(C138=Pudotusvalikot!$D$14,C138=Pudotusvalikot!$D$15),Kalusto!$K$96,VLOOKUP(C138,Kalusto!$C$44:$L$83,9,FALSE)))</f>
        <v>0.8</v>
      </c>
      <c r="W137" s="49" t="str">
        <f>IF(ISNUMBER(L137),"Kohdetieto",IF(OR(C138=Pudotusvalikot!$D$14,C138=Pudotusvalikot!$D$15),Kalusto!$L$96,VLOOKUP(C138,Kalusto!$C$44:$L$83,10,FALSE)))</f>
        <v>kaupunkiajo</v>
      </c>
      <c r="X137" s="50" t="str">
        <f>IF(ISBLANK(C137),"",IF(ISNUMBER(C137*G137),C137*G137,""))</f>
        <v/>
      </c>
      <c r="Y137" s="48" t="str">
        <f>IF(ISNUMBER(C142),C142,"")</f>
        <v/>
      </c>
      <c r="Z137" s="50" t="str">
        <f>IF(ISNUMBER(X137/(U137*V137)*Y137),X137/(U137*V137)*Y137,"")</f>
        <v/>
      </c>
      <c r="AA137" s="51">
        <f>IF(ISNUMBER(L137),L137,K137)</f>
        <v>0.10814</v>
      </c>
      <c r="AB137" s="50" t="str">
        <f>IF(ISNUMBER(Y137*X137*K137),Y137*X137*K137,"")</f>
        <v/>
      </c>
      <c r="AC137" s="50" t="str">
        <f>IF(ISNUMBER(Y137),Y137,"")</f>
        <v/>
      </c>
      <c r="AD137" s="50" t="str">
        <f>IF(ISNUMBER(X137/(U137*V137)),X137/(U137*V137),"")</f>
        <v/>
      </c>
      <c r="AE137" s="50" t="str">
        <f>IF(ISNUMBER(AD137*AC137),AD137*AC137,"")</f>
        <v/>
      </c>
      <c r="AF137" s="51" t="str">
        <f ca="1">IF(ISNUMBER(AE137),IF(ISNUMBER(L137),0,OFFSET(Kalusto!$G$85,AK99+AM99+AL99,0,1,1)),"")</f>
        <v/>
      </c>
      <c r="AG137" s="50" t="str">
        <f>IF(ISNUMBER(AC137*AD137*K138),AC137*AD137*K138,"")</f>
        <v/>
      </c>
      <c r="AH137" s="48">
        <f>IF(T137="Jakelukuorma-auto",0,IF(T137="Maansiirtoauto",4,IF(T137="Puoliperävaunu",6,8)))</f>
        <v>4</v>
      </c>
      <c r="AI137" s="48">
        <f>IF(AND(T137="Jakelukuorma-auto",U137=6),0,IF(AND(T137="Jakelukuorma-auto",U137=15),2,0))</f>
        <v>0</v>
      </c>
      <c r="AJ137" s="48">
        <f>IF(W137="maantieajo",0,1)</f>
        <v>1</v>
      </c>
      <c r="AK137" s="108"/>
      <c r="AL137" s="108"/>
      <c r="AM137" s="108"/>
      <c r="AN137" s="36"/>
      <c r="AO137" s="36"/>
      <c r="AP137" s="36"/>
      <c r="AQ137" s="37"/>
      <c r="AR137" s="37"/>
      <c r="AS137" s="37"/>
      <c r="AT137" s="37"/>
      <c r="AU137" s="37"/>
      <c r="AV137" s="37"/>
      <c r="AW137" s="37"/>
      <c r="AX137" s="37"/>
      <c r="AY137" s="37"/>
      <c r="AZ137" s="37"/>
      <c r="BA137" s="37"/>
      <c r="BB137" s="37"/>
      <c r="BC137" s="37"/>
      <c r="BD137" s="37"/>
      <c r="BE137" s="37"/>
      <c r="BF137" s="37"/>
      <c r="BG137" s="37"/>
    </row>
    <row r="138" spans="2:59" s="31" customFormat="1" ht="31" x14ac:dyDescent="0.3">
      <c r="B138" s="78" t="s">
        <v>530</v>
      </c>
      <c r="C138" s="392" t="s">
        <v>85</v>
      </c>
      <c r="D138" s="393"/>
      <c r="E138" s="393"/>
      <c r="F138" s="393"/>
      <c r="G138" s="394"/>
      <c r="H138" s="84"/>
      <c r="J138" s="33" t="s">
        <v>470</v>
      </c>
      <c r="K138" s="138">
        <f>IF(ISNUMBER(L138),L138,IF(OR(C140=Pudotusvalikot!$D$67,C140=Pudotusvalikot!$D$68),"--",VLOOKUP(C140,Kalusto!$C$5:$E$42,3,FALSE))*IF(OR(C141=Pudotusvalikot!$V$3,C141=Pudotusvalikot!$V$4),Muut!$E$38,IF(C141=Pudotusvalikot!$V$5,Muut!$E$39,IF(C141=Pudotusvalikot!$V$6,Muut!$E$40,Muut!$E$41))))</f>
        <v>34.130000000000003</v>
      </c>
      <c r="L138" s="40"/>
      <c r="M138" s="41" t="s">
        <v>205</v>
      </c>
      <c r="N138" s="41"/>
      <c r="O138" s="256"/>
      <c r="P138" s="69"/>
      <c r="Q138" s="108"/>
      <c r="R138" s="50" t="str">
        <f>IF(ISNUMBER(K138*V142),K138*V142,"")</f>
        <v/>
      </c>
      <c r="S138" s="102" t="s">
        <v>172</v>
      </c>
      <c r="T138" s="36"/>
      <c r="U138" s="36"/>
      <c r="V138" s="36"/>
      <c r="W138" s="36"/>
      <c r="X138" s="36"/>
      <c r="Y138" s="36"/>
      <c r="Z138" s="62">
        <f>IF(C140=Pudotusvalikot!$D$67,"",VLOOKUP(C140,Kalusto!$C$5:$E$42,3,FALSE))</f>
        <v>34.130000000000003</v>
      </c>
      <c r="AA138" s="62"/>
      <c r="AB138" s="61" t="str">
        <f>IF(ISNUMBER(#REF!),#REF!,"")</f>
        <v/>
      </c>
      <c r="AC138" s="36"/>
      <c r="AD138" s="61" t="str">
        <f>IF(ISNUMBER(AB138*C143),IF(D143="m3/h",AB138/C143,AB138*C143),"")</f>
        <v/>
      </c>
      <c r="AE138" s="61"/>
      <c r="AF138" s="61"/>
      <c r="AG138" s="61" t="str">
        <f>IF(ISNUMBER(Z138*AD138),Z138*AD138,"")</f>
        <v/>
      </c>
      <c r="AH138" s="36"/>
      <c r="AI138" s="36"/>
      <c r="AJ138" s="36"/>
      <c r="AK138" s="108"/>
      <c r="AL138" s="108"/>
      <c r="AM138" s="36"/>
      <c r="AN138" s="36"/>
      <c r="AO138" s="36"/>
      <c r="AP138" s="37"/>
      <c r="AQ138" s="37"/>
      <c r="AR138" s="37"/>
      <c r="AS138" s="37"/>
      <c r="AT138" s="37"/>
      <c r="AU138" s="37"/>
      <c r="AV138" s="37"/>
      <c r="AW138" s="37"/>
      <c r="AX138" s="37"/>
      <c r="AY138" s="37"/>
      <c r="AZ138" s="37"/>
      <c r="BA138" s="37"/>
      <c r="BB138" s="37"/>
      <c r="BC138" s="37"/>
      <c r="BD138" s="37"/>
      <c r="BE138" s="37"/>
      <c r="BF138" s="37"/>
      <c r="BG138" s="37"/>
    </row>
    <row r="139" spans="2:59" s="31" customFormat="1" ht="15.5" x14ac:dyDescent="0.3">
      <c r="B139" s="186" t="s">
        <v>506</v>
      </c>
      <c r="C139" s="160" t="s">
        <v>242</v>
      </c>
      <c r="D139" s="34"/>
      <c r="E139" s="34"/>
      <c r="F139" s="34"/>
      <c r="G139" s="34"/>
      <c r="H139" s="59"/>
      <c r="J139" s="173"/>
      <c r="K139" s="173"/>
      <c r="L139" s="173"/>
      <c r="M139" s="41"/>
      <c r="N139" s="41"/>
      <c r="O139" s="256"/>
      <c r="Q139" s="47"/>
      <c r="R139" s="102"/>
      <c r="S139" s="102"/>
      <c r="T139" s="36"/>
      <c r="U139" s="36"/>
      <c r="V139" s="181"/>
      <c r="W139" s="181"/>
      <c r="X139" s="61"/>
      <c r="Y139" s="36"/>
      <c r="Z139" s="61"/>
      <c r="AA139" s="182"/>
      <c r="AB139" s="61"/>
      <c r="AC139" s="61"/>
      <c r="AD139" s="61"/>
      <c r="AE139" s="61"/>
      <c r="AF139" s="182"/>
      <c r="AG139" s="61"/>
      <c r="AH139" s="36"/>
      <c r="AI139" s="36"/>
      <c r="AJ139" s="36"/>
      <c r="AK139" s="108"/>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9" s="31" customFormat="1" ht="15.5" x14ac:dyDescent="0.3">
      <c r="B140" s="54" t="s">
        <v>510</v>
      </c>
      <c r="C140" s="392" t="s">
        <v>128</v>
      </c>
      <c r="D140" s="393"/>
      <c r="E140" s="393"/>
      <c r="F140" s="393"/>
      <c r="G140" s="394"/>
      <c r="H140" s="84"/>
      <c r="J140" s="33"/>
      <c r="O140" s="264"/>
      <c r="P140" s="69"/>
      <c r="Q140" s="108"/>
      <c r="R140" s="98"/>
      <c r="S140" s="108"/>
      <c r="T140" s="36" t="s">
        <v>469</v>
      </c>
      <c r="U140" s="36" t="s">
        <v>351</v>
      </c>
      <c r="V140" s="36" t="s">
        <v>352</v>
      </c>
      <c r="W140" s="36"/>
      <c r="X140" s="36"/>
      <c r="Y140" s="36"/>
      <c r="Z140" s="36"/>
      <c r="AA140" s="36"/>
      <c r="AB140" s="36"/>
      <c r="AC140" s="36"/>
      <c r="AD140" s="36"/>
      <c r="AE140" s="36"/>
      <c r="AF140" s="36"/>
      <c r="AG140" s="36"/>
      <c r="AH140" s="36"/>
      <c r="AI140" s="36"/>
      <c r="AJ140" s="36"/>
      <c r="AK140" s="108"/>
      <c r="AL140" s="108"/>
      <c r="AM140" s="36"/>
      <c r="AN140" s="36"/>
      <c r="AO140" s="36"/>
      <c r="AP140" s="37"/>
      <c r="AQ140" s="37"/>
      <c r="AR140" s="37"/>
      <c r="AS140" s="37"/>
      <c r="AT140" s="37"/>
      <c r="AU140" s="37"/>
      <c r="AV140" s="37"/>
      <c r="AW140" s="37"/>
      <c r="AX140" s="37"/>
      <c r="AY140" s="37"/>
      <c r="AZ140" s="37"/>
      <c r="BA140" s="37"/>
      <c r="BB140" s="37"/>
      <c r="BC140" s="37"/>
      <c r="BD140" s="37"/>
      <c r="BE140" s="37"/>
      <c r="BF140" s="37"/>
      <c r="BG140" s="37"/>
    </row>
    <row r="141" spans="2:59" s="31" customFormat="1" ht="15.5" x14ac:dyDescent="0.3">
      <c r="B141" s="170" t="s">
        <v>509</v>
      </c>
      <c r="C141" s="160" t="s">
        <v>242</v>
      </c>
      <c r="D141" s="34"/>
      <c r="E141" s="34"/>
      <c r="F141" s="34"/>
      <c r="G141" s="34"/>
      <c r="H141" s="59"/>
      <c r="J141" s="173"/>
      <c r="K141" s="173"/>
      <c r="L141" s="173"/>
      <c r="M141" s="41"/>
      <c r="N141" s="41"/>
      <c r="O141" s="256"/>
      <c r="Q141" s="47"/>
      <c r="R141" s="61"/>
      <c r="S141" s="102"/>
      <c r="T141" s="36"/>
      <c r="U141" s="36"/>
      <c r="V141" s="181"/>
      <c r="W141" s="181"/>
      <c r="X141" s="61"/>
      <c r="Y141" s="36"/>
      <c r="Z141" s="61"/>
      <c r="AA141" s="182"/>
      <c r="AB141" s="61"/>
      <c r="AC141" s="61"/>
      <c r="AD141" s="61"/>
      <c r="AE141" s="61"/>
      <c r="AF141" s="182"/>
      <c r="AG141" s="61"/>
      <c r="AH141" s="36"/>
      <c r="AI141" s="36"/>
      <c r="AJ141" s="36"/>
      <c r="AK141" s="108"/>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9" s="31" customFormat="1" ht="15.5" x14ac:dyDescent="0.3">
      <c r="B142" s="54" t="s">
        <v>155</v>
      </c>
      <c r="C142" s="159"/>
      <c r="D142" s="84" t="s">
        <v>5</v>
      </c>
      <c r="G142" s="34"/>
      <c r="H142" s="84"/>
      <c r="J142" s="33"/>
      <c r="O142" s="264"/>
      <c r="P142" s="69"/>
      <c r="Q142" s="108"/>
      <c r="R142" s="98"/>
      <c r="S142" s="108"/>
      <c r="T142" s="50" t="str">
        <f>IF(ISNUMBER(C137),C137,"")</f>
        <v/>
      </c>
      <c r="U142" s="64" t="str">
        <f>IF(D143="h","",IF(ISNUMBER(C143),C143,""))</f>
        <v/>
      </c>
      <c r="V142" s="50" t="str">
        <f>IF(ISNUMBER(T142),IF(D142="h",C142,IF(ISNUMBER(T142*U142),IF(D142="m3/h",T142/U142,T142*U142),"")),"")</f>
        <v/>
      </c>
      <c r="W142" s="36"/>
      <c r="X142" s="36"/>
      <c r="Y142" s="36"/>
      <c r="Z142" s="36"/>
      <c r="AA142" s="36"/>
      <c r="AB142" s="36"/>
      <c r="AC142" s="36"/>
      <c r="AD142" s="36"/>
      <c r="AE142" s="36"/>
      <c r="AF142" s="36"/>
      <c r="AG142" s="36"/>
      <c r="AH142" s="36"/>
      <c r="AI142" s="36"/>
      <c r="AJ142" s="36"/>
      <c r="AK142" s="108"/>
      <c r="AL142" s="108"/>
      <c r="AM142" s="36"/>
      <c r="AN142" s="36"/>
      <c r="AO142" s="36"/>
      <c r="AP142" s="37"/>
      <c r="AQ142" s="37"/>
      <c r="AR142" s="37"/>
      <c r="AS142" s="37"/>
      <c r="AT142" s="37"/>
      <c r="AU142" s="37"/>
      <c r="AV142" s="37"/>
      <c r="AW142" s="37"/>
      <c r="AX142" s="37"/>
      <c r="AY142" s="37"/>
      <c r="AZ142" s="37"/>
      <c r="BA142" s="37"/>
      <c r="BB142" s="37"/>
      <c r="BC142" s="37"/>
      <c r="BD142" s="37"/>
      <c r="BE142" s="37"/>
      <c r="BF142" s="37"/>
      <c r="BG142" s="37"/>
    </row>
    <row r="143" spans="2:59" s="31" customFormat="1" ht="31" x14ac:dyDescent="0.3">
      <c r="B143" s="78" t="s">
        <v>511</v>
      </c>
      <c r="C143" s="193"/>
      <c r="D143" s="89" t="s">
        <v>209</v>
      </c>
      <c r="G143" s="34"/>
      <c r="H143" s="84"/>
      <c r="J143" s="33"/>
      <c r="O143" s="264"/>
      <c r="P143" s="69"/>
      <c r="Q143" s="108"/>
      <c r="R143" s="98"/>
      <c r="S143" s="108"/>
      <c r="T143" s="37"/>
      <c r="U143" s="36"/>
      <c r="V143" s="36"/>
      <c r="W143" s="36"/>
      <c r="X143" s="36"/>
      <c r="Y143" s="36"/>
      <c r="Z143" s="36"/>
      <c r="AA143" s="36"/>
      <c r="AB143" s="36"/>
      <c r="AC143" s="36"/>
      <c r="AD143" s="36"/>
      <c r="AE143" s="36"/>
      <c r="AF143" s="36"/>
      <c r="AG143" s="36"/>
      <c r="AH143" s="36"/>
      <c r="AI143" s="36"/>
      <c r="AJ143" s="36"/>
      <c r="AK143" s="36"/>
      <c r="AL143" s="36"/>
      <c r="AM143" s="36"/>
      <c r="AN143" s="36"/>
      <c r="AO143" s="36"/>
      <c r="AP143" s="37"/>
      <c r="AQ143" s="37"/>
      <c r="AR143" s="37"/>
      <c r="AS143" s="37"/>
      <c r="AT143" s="37"/>
      <c r="AU143" s="37"/>
      <c r="AV143" s="37"/>
      <c r="AW143" s="37"/>
      <c r="AX143" s="37"/>
      <c r="AY143" s="37"/>
      <c r="AZ143" s="37"/>
      <c r="BA143" s="37"/>
      <c r="BB143" s="37"/>
      <c r="BC143" s="37"/>
      <c r="BD143" s="37"/>
      <c r="BE143" s="37"/>
      <c r="BF143" s="37"/>
      <c r="BG143" s="37"/>
    </row>
    <row r="144" spans="2:59" s="31" customFormat="1" ht="15.5" x14ac:dyDescent="0.3">
      <c r="C144" s="80"/>
      <c r="D144" s="84"/>
      <c r="G144" s="34"/>
      <c r="H144" s="84"/>
      <c r="J144" s="33"/>
      <c r="O144" s="171"/>
      <c r="P144" s="69"/>
      <c r="Q144" s="108"/>
      <c r="R144" s="98"/>
      <c r="S144" s="108"/>
      <c r="T144" s="37"/>
      <c r="U144" s="36"/>
      <c r="V144" s="36"/>
      <c r="W144" s="36"/>
      <c r="X144" s="36"/>
      <c r="Y144" s="36"/>
      <c r="Z144" s="36"/>
      <c r="AA144" s="36"/>
      <c r="AB144" s="36"/>
      <c r="AC144" s="36"/>
      <c r="AD144" s="36"/>
      <c r="AE144" s="36"/>
      <c r="AF144" s="36"/>
      <c r="AG144" s="36"/>
      <c r="AH144" s="36"/>
      <c r="AI144" s="36"/>
      <c r="AJ144" s="36"/>
      <c r="AK144" s="36"/>
      <c r="AL144" s="36"/>
      <c r="AM144" s="36"/>
      <c r="AN144" s="36"/>
      <c r="AO144" s="36"/>
      <c r="AP144" s="37"/>
      <c r="AQ144" s="37"/>
      <c r="AR144" s="37"/>
      <c r="AS144" s="37"/>
      <c r="AT144" s="37"/>
      <c r="AU144" s="37"/>
      <c r="AV144" s="37"/>
      <c r="AW144" s="37"/>
      <c r="AX144" s="37"/>
      <c r="AY144" s="37"/>
      <c r="AZ144" s="37"/>
      <c r="BA144" s="37"/>
      <c r="BB144" s="37"/>
      <c r="BC144" s="37"/>
      <c r="BD144" s="37"/>
      <c r="BE144" s="37"/>
      <c r="BF144" s="37"/>
      <c r="BG144" s="37"/>
    </row>
    <row r="145" spans="2:59" s="307" customFormat="1" ht="18" x14ac:dyDescent="0.3">
      <c r="B145" s="295" t="s">
        <v>693</v>
      </c>
      <c r="D145" s="306"/>
      <c r="H145" s="306"/>
      <c r="J145" s="308"/>
      <c r="M145" s="306"/>
      <c r="N145" s="306"/>
      <c r="O145" s="309"/>
      <c r="P145" s="313"/>
      <c r="R145" s="312"/>
      <c r="S145" s="312"/>
      <c r="T145" s="312"/>
      <c r="U145" s="311"/>
      <c r="V145" s="311"/>
      <c r="W145" s="311"/>
      <c r="X145" s="311"/>
      <c r="Y145" s="311"/>
      <c r="Z145" s="311"/>
      <c r="AA145" s="311"/>
      <c r="AB145" s="311"/>
      <c r="AC145" s="311"/>
      <c r="AD145" s="311"/>
      <c r="AE145" s="311"/>
      <c r="AF145" s="311"/>
      <c r="AG145" s="311"/>
      <c r="AH145" s="311"/>
      <c r="AI145" s="311"/>
      <c r="AJ145" s="311"/>
      <c r="AK145" s="311"/>
      <c r="AL145" s="311"/>
      <c r="AM145" s="311"/>
      <c r="AN145" s="311"/>
      <c r="AO145" s="311"/>
      <c r="AP145" s="312"/>
      <c r="AQ145" s="312"/>
      <c r="AR145" s="312"/>
      <c r="AS145" s="312"/>
      <c r="AT145" s="312"/>
      <c r="AU145" s="312"/>
      <c r="AV145" s="312"/>
      <c r="AW145" s="312"/>
      <c r="AX145" s="312"/>
      <c r="AY145" s="312"/>
      <c r="AZ145" s="312"/>
      <c r="BA145" s="312"/>
      <c r="BB145" s="312"/>
      <c r="BC145" s="312"/>
      <c r="BD145" s="312"/>
      <c r="BE145" s="312"/>
      <c r="BF145" s="312"/>
      <c r="BG145" s="312"/>
    </row>
    <row r="146" spans="2:59" s="31" customFormat="1" ht="15.5" x14ac:dyDescent="0.3">
      <c r="B146" s="9"/>
      <c r="C146" s="34"/>
      <c r="D146" s="84"/>
      <c r="G146" s="34"/>
      <c r="H146" s="84"/>
      <c r="J146" s="33"/>
      <c r="O146" s="255" t="s">
        <v>644</v>
      </c>
      <c r="P146" s="69"/>
      <c r="Q146" s="108"/>
      <c r="R146" s="145"/>
      <c r="S146" s="108"/>
      <c r="T146" s="37"/>
      <c r="U146" s="36"/>
      <c r="V146" s="36"/>
      <c r="W146" s="36"/>
      <c r="X146" s="36"/>
      <c r="Y146" s="36"/>
      <c r="Z146" s="36"/>
      <c r="AA146" s="36"/>
      <c r="AB146" s="36"/>
      <c r="AC146" s="36"/>
      <c r="AD146" s="36"/>
      <c r="AE146" s="36"/>
      <c r="AF146" s="36"/>
      <c r="AG146" s="36"/>
      <c r="AH146" s="36"/>
      <c r="AI146" s="36"/>
      <c r="AJ146" s="36"/>
      <c r="AK146" s="36"/>
      <c r="AL146" s="36"/>
      <c r="AM146" s="36"/>
      <c r="AN146" s="36"/>
      <c r="AO146" s="36"/>
      <c r="AP146" s="37"/>
      <c r="AQ146" s="37"/>
      <c r="AR146" s="37"/>
      <c r="AS146" s="37"/>
      <c r="AT146" s="37"/>
      <c r="AU146" s="37"/>
      <c r="AV146" s="37"/>
      <c r="AW146" s="37"/>
      <c r="AX146" s="37"/>
      <c r="AY146" s="37"/>
      <c r="AZ146" s="37"/>
      <c r="BA146" s="37"/>
      <c r="BB146" s="37"/>
      <c r="BC146" s="37"/>
      <c r="BD146" s="37"/>
      <c r="BE146" s="37"/>
      <c r="BF146" s="37"/>
      <c r="BG146" s="37"/>
    </row>
    <row r="147" spans="2:59" s="31" customFormat="1" ht="15.5" x14ac:dyDescent="0.3">
      <c r="B147" s="164" t="s">
        <v>487</v>
      </c>
      <c r="D147" s="84"/>
      <c r="H147" s="84"/>
      <c r="J147" s="33"/>
      <c r="K147" s="38" t="s">
        <v>329</v>
      </c>
      <c r="L147" s="38" t="s">
        <v>201</v>
      </c>
      <c r="M147" s="84"/>
      <c r="N147" s="84"/>
      <c r="O147" s="256"/>
      <c r="P147" s="69"/>
      <c r="Q147" s="37"/>
      <c r="R147" s="36" t="s">
        <v>350</v>
      </c>
      <c r="S147" s="36"/>
      <c r="T147" s="36" t="s">
        <v>50</v>
      </c>
      <c r="U147" s="36" t="s">
        <v>351</v>
      </c>
      <c r="V147" s="36" t="s">
        <v>352</v>
      </c>
      <c r="W147" s="108"/>
      <c r="X147" s="36"/>
      <c r="Y147" s="36"/>
      <c r="Z147" s="36"/>
      <c r="AA147" s="36"/>
      <c r="AB147" s="36"/>
      <c r="AC147" s="36"/>
      <c r="AD147" s="36"/>
      <c r="AE147" s="36"/>
      <c r="AF147" s="36"/>
      <c r="AG147" s="36"/>
      <c r="AH147" s="36"/>
      <c r="AI147" s="36"/>
      <c r="AJ147" s="36"/>
      <c r="AK147" s="36"/>
      <c r="AL147" s="36"/>
      <c r="AM147" s="36"/>
      <c r="AN147" s="37"/>
      <c r="AO147" s="37"/>
      <c r="AP147" s="37"/>
      <c r="AQ147" s="37"/>
      <c r="AR147" s="37"/>
      <c r="AS147" s="37"/>
      <c r="AT147" s="37"/>
      <c r="AU147" s="37"/>
      <c r="AV147" s="37"/>
      <c r="AW147" s="37"/>
      <c r="AX147" s="37"/>
      <c r="AY147" s="37"/>
      <c r="AZ147" s="37"/>
      <c r="BA147" s="37"/>
      <c r="BB147" s="37"/>
      <c r="BC147" s="37"/>
      <c r="BD147" s="37"/>
      <c r="BE147" s="37"/>
    </row>
    <row r="148" spans="2:59" s="31" customFormat="1" ht="15.5" x14ac:dyDescent="0.3">
      <c r="B148" s="54" t="s">
        <v>472</v>
      </c>
      <c r="C148" s="183"/>
      <c r="D148" s="84" t="s">
        <v>210</v>
      </c>
      <c r="H148" s="84"/>
      <c r="J148" s="33" t="s">
        <v>470</v>
      </c>
      <c r="K148" s="96" t="str">
        <f>IF(ISNUMBER(L148),L148,IF(OR(C149=Pudotusvalikot!$D$67,C149=Pudotusvalikot!$D$68),"--",VLOOKUP(C149,Kalusto!$C$5:$E$42,3,FALSE)*IF(OR(C150=Pudotusvalikot!$V$3,C150=Pudotusvalikot!$V$4),Muut!$E$38,IF(C150=Pudotusvalikot!$V$5,Muut!$E$39,IF(C150=Pudotusvalikot!$V$6,Muut!$E$40,Muut!$E$41)))))</f>
        <v>--</v>
      </c>
      <c r="L148" s="40"/>
      <c r="M148" s="41" t="s">
        <v>205</v>
      </c>
      <c r="N148" s="41"/>
      <c r="O148" s="256"/>
      <c r="P148" s="151"/>
      <c r="Q148" s="37"/>
      <c r="R148" s="50" t="str">
        <f>IF(ISNUMBER(K148*V148),K148*V148,"")</f>
        <v/>
      </c>
      <c r="S148" s="102" t="s">
        <v>172</v>
      </c>
      <c r="T148" s="50" t="str">
        <f>IF(ISNUMBER(C148),C148,"")</f>
        <v/>
      </c>
      <c r="U148" s="64" t="str">
        <f>IF(D151="h","",IF(ISNUMBER(C151),C151,""))</f>
        <v/>
      </c>
      <c r="V148" s="50" t="str">
        <f>IF(ISNUMBER(T148),IF(D151="h",C151,IF(ISNUMBER(T148*U148),IF(D151="m3/h",T148/U148,T148*U148),"")),"")</f>
        <v/>
      </c>
      <c r="W148" s="108"/>
      <c r="X148" s="61"/>
      <c r="Y148" s="36"/>
      <c r="Z148" s="36"/>
      <c r="AA148" s="62"/>
      <c r="AB148" s="36"/>
      <c r="AC148" s="36"/>
      <c r="AD148" s="36"/>
      <c r="AE148" s="36"/>
      <c r="AF148" s="36"/>
      <c r="AG148" s="36"/>
      <c r="AH148" s="36"/>
      <c r="AI148" s="36"/>
      <c r="AJ148" s="36"/>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9" s="31" customFormat="1" ht="15.5" x14ac:dyDescent="0.3">
      <c r="B149" s="54" t="s">
        <v>510</v>
      </c>
      <c r="C149" s="392" t="s">
        <v>332</v>
      </c>
      <c r="D149" s="393"/>
      <c r="E149" s="393"/>
      <c r="F149" s="393"/>
      <c r="G149" s="394"/>
      <c r="H149" s="84"/>
      <c r="J149" s="33"/>
      <c r="M149" s="84"/>
      <c r="N149" s="84"/>
      <c r="O149" s="257"/>
      <c r="P149" s="69"/>
      <c r="Q149" s="37"/>
      <c r="R149" s="36"/>
      <c r="S149" s="36"/>
      <c r="T149" s="36"/>
      <c r="U149" s="36"/>
      <c r="V149" s="36"/>
      <c r="W149" s="108"/>
      <c r="X149" s="36"/>
      <c r="Y149" s="36"/>
      <c r="Z149" s="36"/>
      <c r="AA149" s="36"/>
      <c r="AB149" s="36"/>
      <c r="AC149" s="36"/>
      <c r="AD149" s="36"/>
      <c r="AE149" s="36"/>
      <c r="AF149" s="36"/>
      <c r="AG149" s="36"/>
      <c r="AH149" s="36"/>
      <c r="AI149" s="36"/>
      <c r="AJ149" s="36"/>
      <c r="AK149" s="36"/>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9" s="31" customFormat="1" ht="15.5" x14ac:dyDescent="0.3">
      <c r="B150" s="170" t="s">
        <v>509</v>
      </c>
      <c r="C150" s="160" t="s">
        <v>242</v>
      </c>
      <c r="D150" s="34"/>
      <c r="E150" s="34"/>
      <c r="F150" s="34"/>
      <c r="G150" s="34"/>
      <c r="H150" s="59"/>
      <c r="J150" s="173"/>
      <c r="K150" s="173"/>
      <c r="L150" s="173"/>
      <c r="M150" s="41"/>
      <c r="N150" s="41"/>
      <c r="O150" s="256"/>
      <c r="Q150" s="47"/>
      <c r="R150" s="61"/>
      <c r="S150" s="102"/>
      <c r="T150" s="36"/>
      <c r="U150" s="36"/>
      <c r="V150" s="181"/>
      <c r="W150" s="181"/>
      <c r="X150" s="61"/>
      <c r="Y150" s="36"/>
      <c r="Z150" s="61"/>
      <c r="AA150" s="182"/>
      <c r="AB150" s="61"/>
      <c r="AC150" s="61"/>
      <c r="AD150" s="61"/>
      <c r="AE150" s="61"/>
      <c r="AF150" s="182"/>
      <c r="AG150" s="61"/>
      <c r="AH150" s="36"/>
      <c r="AI150" s="36"/>
      <c r="AJ150" s="36"/>
      <c r="AK150" s="108"/>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9" s="31" customFormat="1" ht="31" x14ac:dyDescent="0.3">
      <c r="B151" s="78" t="s">
        <v>511</v>
      </c>
      <c r="C151" s="184"/>
      <c r="D151" s="89" t="s">
        <v>209</v>
      </c>
      <c r="H151" s="84"/>
      <c r="J151" s="33"/>
      <c r="M151" s="84"/>
      <c r="N151" s="84"/>
      <c r="O151" s="257"/>
      <c r="P151" s="149"/>
      <c r="Q151" s="105"/>
      <c r="R151" s="36"/>
      <c r="S151" s="36"/>
      <c r="T151" s="36"/>
      <c r="U151" s="36"/>
      <c r="V151" s="36"/>
      <c r="W151" s="108"/>
      <c r="X151" s="36"/>
      <c r="Y151" s="36"/>
      <c r="Z151" s="36"/>
      <c r="AA151" s="36"/>
      <c r="AB151" s="36"/>
      <c r="AC151" s="36"/>
      <c r="AD151" s="36"/>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9" s="31" customFormat="1" ht="15.5" x14ac:dyDescent="0.3">
      <c r="D152" s="84"/>
      <c r="H152" s="84"/>
      <c r="J152" s="33"/>
      <c r="M152" s="84"/>
      <c r="N152" s="84"/>
      <c r="O152" s="257"/>
      <c r="P152" s="69"/>
      <c r="Q152" s="37"/>
      <c r="R152" s="36"/>
      <c r="S152" s="36"/>
      <c r="T152" s="36"/>
      <c r="U152" s="36"/>
      <c r="V152" s="36"/>
      <c r="W152" s="108"/>
      <c r="X152" s="36"/>
      <c r="Y152" s="36"/>
      <c r="Z152" s="36"/>
      <c r="AA152" s="36"/>
      <c r="AB152" s="36"/>
      <c r="AC152" s="36"/>
      <c r="AD152" s="36"/>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9" s="31" customFormat="1" ht="15.5" x14ac:dyDescent="0.3">
      <c r="B153" s="164" t="s">
        <v>488</v>
      </c>
      <c r="D153" s="84"/>
      <c r="H153" s="84"/>
      <c r="J153" s="33"/>
      <c r="K153" s="38" t="s">
        <v>329</v>
      </c>
      <c r="L153" s="38" t="s">
        <v>201</v>
      </c>
      <c r="M153" s="84"/>
      <c r="N153" s="84"/>
      <c r="O153" s="257"/>
      <c r="P153" s="69"/>
      <c r="Q153" s="37"/>
      <c r="R153" s="36" t="s">
        <v>350</v>
      </c>
      <c r="S153" s="36"/>
      <c r="T153" s="36" t="s">
        <v>50</v>
      </c>
      <c r="U153" s="36" t="s">
        <v>351</v>
      </c>
      <c r="V153" s="36" t="s">
        <v>352</v>
      </c>
      <c r="W153" s="108"/>
      <c r="X153" s="36"/>
      <c r="Y153" s="36"/>
      <c r="Z153" s="36"/>
      <c r="AA153" s="36"/>
      <c r="AB153" s="36"/>
      <c r="AC153" s="36"/>
      <c r="AD153" s="36"/>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9" s="31" customFormat="1" ht="15.5" x14ac:dyDescent="0.3">
      <c r="B154" s="54" t="s">
        <v>472</v>
      </c>
      <c r="C154" s="183"/>
      <c r="D154" s="84" t="s">
        <v>210</v>
      </c>
      <c r="H154" s="84"/>
      <c r="J154" s="33" t="s">
        <v>470</v>
      </c>
      <c r="K154" s="96" t="str">
        <f>IF(ISNUMBER(L154),L154,IF(OR(C155=Pudotusvalikot!$D$67,C155=Pudotusvalikot!$D$68),"--",VLOOKUP(C155,Kalusto!$C$5:$E$42,3,FALSE)*IF(OR(C156=Pudotusvalikot!$V$3,C156=Pudotusvalikot!$V$4),Muut!$E$38,IF(C156=Pudotusvalikot!$V$5,Muut!$E$39,IF(C156=Pudotusvalikot!$V$6,Muut!$E$40,Muut!$E$41)))))</f>
        <v>--</v>
      </c>
      <c r="L154" s="40"/>
      <c r="M154" s="41" t="s">
        <v>205</v>
      </c>
      <c r="N154" s="41"/>
      <c r="O154" s="256"/>
      <c r="P154" s="151"/>
      <c r="Q154" s="37"/>
      <c r="R154" s="50" t="str">
        <f>IF(ISNUMBER(K154*V154),K154*V154,"")</f>
        <v/>
      </c>
      <c r="S154" s="102" t="s">
        <v>172</v>
      </c>
      <c r="T154" s="50" t="str">
        <f>IF(ISNUMBER(C154),C154,"")</f>
        <v/>
      </c>
      <c r="U154" s="64" t="str">
        <f>IF(D157="h","",IF(ISNUMBER(C157),C157,""))</f>
        <v/>
      </c>
      <c r="V154" s="50" t="str">
        <f>IF(ISNUMBER(T154),IF(D157="h",C157,IF(ISNUMBER(T154*U154),IF(D157="m3/h",T154/U154,T154*U154),"")),"")</f>
        <v/>
      </c>
      <c r="W154" s="108"/>
      <c r="X154" s="61"/>
      <c r="Y154" s="36"/>
      <c r="Z154" s="36"/>
      <c r="AA154" s="62"/>
      <c r="AB154" s="36"/>
      <c r="AC154" s="36"/>
      <c r="AD154" s="36"/>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9" s="31" customFormat="1" ht="15.5" x14ac:dyDescent="0.3">
      <c r="B155" s="54" t="s">
        <v>510</v>
      </c>
      <c r="C155" s="392" t="s">
        <v>332</v>
      </c>
      <c r="D155" s="393"/>
      <c r="E155" s="393"/>
      <c r="F155" s="393"/>
      <c r="G155" s="394"/>
      <c r="H155" s="84"/>
      <c r="J155" s="33"/>
      <c r="M155" s="84"/>
      <c r="N155" s="84"/>
      <c r="O155" s="257"/>
      <c r="P155" s="69"/>
      <c r="Q155" s="37"/>
      <c r="R155" s="36"/>
      <c r="S155" s="36"/>
      <c r="T155" s="36"/>
      <c r="U155" s="36"/>
      <c r="V155" s="36"/>
      <c r="W155" s="108"/>
      <c r="X155" s="36"/>
      <c r="Y155" s="36"/>
      <c r="Z155" s="36"/>
      <c r="AA155" s="36"/>
      <c r="AB155" s="36"/>
      <c r="AC155" s="36"/>
      <c r="AD155" s="36"/>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9" s="31" customFormat="1" ht="15.5" x14ac:dyDescent="0.3">
      <c r="B156" s="170" t="s">
        <v>509</v>
      </c>
      <c r="C156" s="160" t="s">
        <v>242</v>
      </c>
      <c r="D156" s="34"/>
      <c r="E156" s="34"/>
      <c r="F156" s="34"/>
      <c r="G156" s="34"/>
      <c r="H156" s="59"/>
      <c r="J156" s="173"/>
      <c r="K156" s="173"/>
      <c r="L156" s="173"/>
      <c r="M156" s="41"/>
      <c r="N156" s="41"/>
      <c r="O156" s="256"/>
      <c r="Q156" s="47"/>
      <c r="R156" s="61"/>
      <c r="S156" s="102"/>
      <c r="T156" s="36"/>
      <c r="U156" s="36"/>
      <c r="V156" s="181"/>
      <c r="W156" s="181"/>
      <c r="X156" s="61"/>
      <c r="Y156" s="36"/>
      <c r="Z156" s="61"/>
      <c r="AA156" s="182"/>
      <c r="AB156" s="61"/>
      <c r="AC156" s="61"/>
      <c r="AD156" s="61"/>
      <c r="AE156" s="61"/>
      <c r="AF156" s="182"/>
      <c r="AG156" s="61"/>
      <c r="AH156" s="36"/>
      <c r="AI156" s="36"/>
      <c r="AJ156" s="36"/>
      <c r="AK156" s="108"/>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9" s="31" customFormat="1" ht="31" x14ac:dyDescent="0.3">
      <c r="B157" s="78" t="s">
        <v>511</v>
      </c>
      <c r="C157" s="184"/>
      <c r="D157" s="89" t="s">
        <v>209</v>
      </c>
      <c r="H157" s="84"/>
      <c r="J157" s="33"/>
      <c r="M157" s="84"/>
      <c r="N157" s="84"/>
      <c r="O157" s="257"/>
      <c r="P157" s="149"/>
      <c r="Q157" s="105"/>
      <c r="R157" s="36"/>
      <c r="S157" s="36"/>
      <c r="T157" s="36"/>
      <c r="U157" s="36"/>
      <c r="V157" s="36"/>
      <c r="W157" s="108"/>
      <c r="X157" s="36"/>
      <c r="Y157" s="36"/>
      <c r="Z157" s="36"/>
      <c r="AA157" s="36"/>
      <c r="AB157" s="36"/>
      <c r="AC157" s="36"/>
      <c r="AD157" s="36"/>
      <c r="AE157" s="36"/>
      <c r="AF157" s="36"/>
      <c r="AG157" s="36"/>
      <c r="AH157" s="36"/>
      <c r="AI157" s="36"/>
      <c r="AJ157" s="36"/>
      <c r="AK157" s="36"/>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9" s="31" customFormat="1" ht="15.5" x14ac:dyDescent="0.3">
      <c r="B158" s="78"/>
      <c r="C158" s="65"/>
      <c r="D158" s="84"/>
      <c r="E158" s="59"/>
      <c r="H158" s="84"/>
      <c r="J158" s="33"/>
      <c r="M158" s="84"/>
      <c r="N158" s="84"/>
      <c r="O158" s="255"/>
      <c r="P158" s="149"/>
      <c r="Q158" s="105"/>
      <c r="R158" s="36"/>
      <c r="S158" s="36"/>
      <c r="T158" s="36"/>
      <c r="U158" s="36"/>
      <c r="V158" s="36"/>
      <c r="W158" s="108"/>
      <c r="X158" s="36"/>
      <c r="Y158" s="36"/>
      <c r="Z158" s="36"/>
      <c r="AA158" s="36"/>
      <c r="AB158" s="36"/>
      <c r="AC158" s="36"/>
      <c r="AD158" s="36"/>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9" s="307" customFormat="1" ht="18" x14ac:dyDescent="0.3">
      <c r="B159" s="295" t="s">
        <v>39</v>
      </c>
      <c r="D159" s="306"/>
      <c r="H159" s="306"/>
      <c r="J159" s="308"/>
      <c r="M159" s="306"/>
      <c r="N159" s="306"/>
      <c r="O159" s="309"/>
      <c r="P159" s="313"/>
      <c r="R159" s="312"/>
      <c r="S159" s="312"/>
      <c r="T159" s="312"/>
      <c r="U159" s="311"/>
      <c r="V159" s="311"/>
      <c r="W159" s="311"/>
      <c r="X159" s="311"/>
      <c r="Y159" s="311"/>
      <c r="Z159" s="311"/>
      <c r="AA159" s="311"/>
      <c r="AB159" s="311"/>
      <c r="AC159" s="311"/>
      <c r="AD159" s="311"/>
      <c r="AE159" s="311"/>
      <c r="AF159" s="311"/>
      <c r="AG159" s="311"/>
      <c r="AH159" s="311"/>
      <c r="AI159" s="311"/>
      <c r="AJ159" s="311"/>
      <c r="AK159" s="311"/>
      <c r="AL159" s="311"/>
      <c r="AM159" s="311"/>
      <c r="AN159" s="311"/>
      <c r="AO159" s="311"/>
      <c r="AP159" s="312"/>
      <c r="AQ159" s="312"/>
      <c r="AR159" s="312"/>
      <c r="AS159" s="312"/>
      <c r="AT159" s="312"/>
      <c r="AU159" s="312"/>
      <c r="AV159" s="312"/>
      <c r="AW159" s="312"/>
      <c r="AX159" s="312"/>
      <c r="AY159" s="312"/>
      <c r="AZ159" s="312"/>
      <c r="BA159" s="312"/>
      <c r="BB159" s="312"/>
      <c r="BC159" s="312"/>
      <c r="BD159" s="312"/>
      <c r="BE159" s="312"/>
      <c r="BF159" s="312"/>
      <c r="BG159" s="312"/>
    </row>
    <row r="160" spans="2:59" s="31" customFormat="1" ht="13.9" customHeight="1" x14ac:dyDescent="0.3">
      <c r="B160" s="9"/>
      <c r="C160" s="72"/>
      <c r="D160" s="84"/>
      <c r="G160" s="34"/>
      <c r="H160" s="84"/>
      <c r="J160" s="33"/>
      <c r="K160" s="38" t="s">
        <v>329</v>
      </c>
      <c r="L160" s="38" t="s">
        <v>201</v>
      </c>
      <c r="O160" s="255" t="s">
        <v>644</v>
      </c>
      <c r="P160" s="69"/>
      <c r="Q160" s="108"/>
      <c r="R160" s="36" t="s">
        <v>350</v>
      </c>
      <c r="S160" s="108"/>
      <c r="T160" s="37"/>
      <c r="U160" s="36"/>
      <c r="V160" s="36" t="s">
        <v>352</v>
      </c>
      <c r="W160" s="61"/>
      <c r="X160" s="36"/>
      <c r="Y160" s="36"/>
      <c r="Z160" s="36"/>
      <c r="AA160" s="36"/>
      <c r="AB160" s="36"/>
      <c r="AC160" s="36"/>
      <c r="AD160" s="36"/>
      <c r="AE160" s="36"/>
      <c r="AF160" s="36"/>
      <c r="AG160" s="36"/>
      <c r="AH160" s="36"/>
      <c r="AI160" s="36"/>
      <c r="AJ160" s="36"/>
      <c r="AK160" s="36"/>
      <c r="AL160" s="36"/>
      <c r="AM160" s="36"/>
      <c r="AN160" s="36"/>
      <c r="AO160" s="36"/>
      <c r="AP160" s="37"/>
      <c r="AQ160" s="37"/>
      <c r="AR160" s="37"/>
      <c r="AS160" s="37"/>
      <c r="AT160" s="37"/>
      <c r="AU160" s="37"/>
      <c r="AV160" s="37"/>
      <c r="AW160" s="37"/>
      <c r="AX160" s="37"/>
      <c r="AY160" s="37"/>
      <c r="AZ160" s="37"/>
      <c r="BA160" s="37"/>
      <c r="BB160" s="37"/>
      <c r="BC160" s="37"/>
      <c r="BD160" s="37"/>
      <c r="BE160" s="37"/>
      <c r="BF160" s="37"/>
      <c r="BG160" s="37"/>
    </row>
    <row r="161" spans="2:59" s="31" customFormat="1" ht="15.5" x14ac:dyDescent="0.3">
      <c r="B161" s="54" t="s">
        <v>473</v>
      </c>
      <c r="C161" s="156"/>
      <c r="D161" s="84" t="s">
        <v>51</v>
      </c>
      <c r="G161" s="34"/>
      <c r="H161" s="84"/>
      <c r="J161" s="33" t="s">
        <v>470</v>
      </c>
      <c r="K161" s="96" t="str">
        <f>IF(ISNUMBER(L161),L161,IF(ISNUMBER(C161),Kalusto!$E$9*IF(OR(C162=Pudotusvalikot!$V$3,C162=Pudotusvalikot!$V$4),Muut!$E$38,IF(C162=Pudotusvalikot!$V$5,Muut!$E$39,IF(C162=Pudotusvalikot!$V$6,Muut!$E$40,Muut!$E$41))),"--"))</f>
        <v>--</v>
      </c>
      <c r="L161" s="63"/>
      <c r="M161" s="41" t="s">
        <v>205</v>
      </c>
      <c r="N161" s="41"/>
      <c r="O161" s="256"/>
      <c r="P161" s="69"/>
      <c r="Q161" s="108"/>
      <c r="R161" s="107" t="str">
        <f>IF(ISNUMBER(K161*V161),K161*V161,"")</f>
        <v/>
      </c>
      <c r="S161" s="102" t="s">
        <v>172</v>
      </c>
      <c r="T161" s="37"/>
      <c r="U161" s="36"/>
      <c r="V161" s="50" t="str">
        <f>IF(ISNUMBER(C161),C161,"")</f>
        <v/>
      </c>
      <c r="W161" s="61"/>
      <c r="X161" s="36"/>
      <c r="Y161" s="36"/>
      <c r="Z161" s="36"/>
      <c r="AA161" s="36"/>
      <c r="AB161" s="36"/>
      <c r="AC161" s="36"/>
      <c r="AD161" s="36"/>
      <c r="AE161" s="36"/>
      <c r="AF161" s="36"/>
      <c r="AG161" s="36"/>
      <c r="AH161" s="36"/>
      <c r="AI161" s="36"/>
      <c r="AJ161" s="36"/>
      <c r="AK161" s="36"/>
      <c r="AL161" s="36"/>
      <c r="AM161" s="36"/>
      <c r="AN161" s="36"/>
      <c r="AO161" s="36"/>
      <c r="AP161" s="37"/>
      <c r="AQ161" s="37"/>
      <c r="AR161" s="37"/>
      <c r="AS161" s="37"/>
      <c r="AT161" s="37"/>
      <c r="AU161" s="37"/>
      <c r="AV161" s="37"/>
      <c r="AW161" s="37"/>
      <c r="AX161" s="37"/>
      <c r="AY161" s="37"/>
      <c r="AZ161" s="37"/>
      <c r="BA161" s="37"/>
      <c r="BB161" s="37"/>
      <c r="BC161" s="37"/>
      <c r="BD161" s="37"/>
      <c r="BE161" s="37"/>
      <c r="BF161" s="37"/>
      <c r="BG161" s="37"/>
    </row>
    <row r="162" spans="2:59" s="31" customFormat="1" ht="15.5" x14ac:dyDescent="0.3">
      <c r="B162" s="170" t="s">
        <v>509</v>
      </c>
      <c r="C162" s="160" t="s">
        <v>242</v>
      </c>
      <c r="D162" s="34"/>
      <c r="E162" s="34"/>
      <c r="F162" s="34"/>
      <c r="G162" s="34"/>
      <c r="H162" s="59"/>
      <c r="J162" s="173"/>
      <c r="K162" s="173"/>
      <c r="L162" s="173"/>
      <c r="M162" s="41"/>
      <c r="N162" s="41"/>
      <c r="O162" s="256"/>
      <c r="Q162" s="47"/>
      <c r="R162" s="61"/>
      <c r="S162" s="102"/>
      <c r="T162" s="36"/>
      <c r="U162" s="36"/>
      <c r="V162" s="181"/>
      <c r="W162" s="181"/>
      <c r="X162" s="61"/>
      <c r="Y162" s="36"/>
      <c r="Z162" s="61"/>
      <c r="AA162" s="182"/>
      <c r="AB162" s="61"/>
      <c r="AC162" s="61"/>
      <c r="AD162" s="61"/>
      <c r="AE162" s="61"/>
      <c r="AF162" s="182"/>
      <c r="AG162" s="61"/>
      <c r="AH162" s="36"/>
      <c r="AI162" s="36"/>
      <c r="AJ162" s="36"/>
      <c r="AK162" s="108"/>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9" s="31" customFormat="1" ht="13.9" customHeight="1" x14ac:dyDescent="0.3">
      <c r="B163" s="54"/>
      <c r="C163" s="68"/>
      <c r="D163" s="84"/>
      <c r="G163" s="34"/>
      <c r="H163" s="84"/>
      <c r="J163" s="33"/>
      <c r="K163" s="60"/>
      <c r="L163" s="60"/>
      <c r="M163" s="41"/>
      <c r="N163" s="41"/>
      <c r="O163" s="256"/>
      <c r="P163" s="69"/>
      <c r="Q163" s="108"/>
      <c r="R163" s="98"/>
      <c r="S163" s="108"/>
      <c r="T163" s="37"/>
      <c r="U163" s="36"/>
      <c r="V163" s="61"/>
      <c r="W163" s="61"/>
      <c r="X163" s="36"/>
      <c r="Y163" s="36"/>
      <c r="Z163" s="36"/>
      <c r="AA163" s="36"/>
      <c r="AB163" s="36"/>
      <c r="AC163" s="36"/>
      <c r="AD163" s="36"/>
      <c r="AE163" s="36"/>
      <c r="AF163" s="36"/>
      <c r="AG163" s="36"/>
      <c r="AH163" s="36"/>
      <c r="AI163" s="36"/>
      <c r="AJ163" s="36"/>
      <c r="AK163" s="36"/>
      <c r="AL163" s="36"/>
      <c r="AM163" s="36"/>
      <c r="AN163" s="36"/>
      <c r="AO163" s="36"/>
      <c r="AP163" s="37"/>
      <c r="AQ163" s="37"/>
      <c r="AR163" s="37"/>
      <c r="AS163" s="37"/>
      <c r="AT163" s="37"/>
      <c r="AU163" s="37"/>
      <c r="AV163" s="37"/>
      <c r="AW163" s="37"/>
      <c r="AX163" s="37"/>
      <c r="AY163" s="37"/>
      <c r="AZ163" s="37"/>
      <c r="BA163" s="37"/>
      <c r="BB163" s="37"/>
      <c r="BC163" s="37"/>
      <c r="BD163" s="37"/>
      <c r="BE163" s="37"/>
      <c r="BF163" s="37"/>
      <c r="BG163" s="37"/>
    </row>
    <row r="164" spans="2:59" s="31" customFormat="1" ht="15.5" x14ac:dyDescent="0.3">
      <c r="B164" s="70" t="s">
        <v>293</v>
      </c>
      <c r="C164" s="153"/>
      <c r="D164" s="76"/>
      <c r="F164" s="71"/>
      <c r="G164" s="55"/>
      <c r="H164" s="101"/>
      <c r="I164" s="56"/>
      <c r="J164" s="71" t="s">
        <v>215</v>
      </c>
      <c r="O164" s="264"/>
      <c r="P164" s="69"/>
      <c r="Q164" s="108"/>
      <c r="R164" s="98"/>
      <c r="S164" s="108"/>
      <c r="T164" s="37"/>
      <c r="U164" s="36"/>
      <c r="V164" s="36"/>
      <c r="W164" s="36"/>
      <c r="X164" s="36"/>
      <c r="Y164" s="36"/>
      <c r="Z164" s="36"/>
      <c r="AA164" s="36"/>
      <c r="AB164" s="36"/>
      <c r="AC164" s="36"/>
      <c r="AD164" s="36"/>
      <c r="AE164" s="36"/>
      <c r="AF164" s="36"/>
      <c r="AG164" s="36"/>
      <c r="AH164" s="36"/>
      <c r="AI164" s="36"/>
      <c r="AJ164" s="36"/>
      <c r="AK164" s="36"/>
      <c r="AL164" s="36"/>
      <c r="AM164" s="36"/>
      <c r="AN164" s="36"/>
      <c r="AO164" s="36"/>
      <c r="AP164" s="37"/>
      <c r="AQ164" s="37"/>
      <c r="AR164" s="37"/>
      <c r="AS164" s="37"/>
      <c r="AT164" s="37"/>
      <c r="AU164" s="37"/>
      <c r="AV164" s="37"/>
      <c r="AW164" s="37"/>
      <c r="AX164" s="37"/>
      <c r="AY164" s="37"/>
      <c r="AZ164" s="37"/>
      <c r="BA164" s="37"/>
      <c r="BB164" s="37"/>
      <c r="BC164" s="37"/>
      <c r="BD164" s="37"/>
      <c r="BE164" s="37"/>
      <c r="BF164" s="37"/>
      <c r="BG164" s="37"/>
    </row>
    <row r="165" spans="2:59" s="31" customFormat="1" ht="13.9" customHeight="1" x14ac:dyDescent="0.3">
      <c r="C165" s="72"/>
      <c r="D165" s="84"/>
      <c r="G165" s="34"/>
      <c r="H165" s="84"/>
      <c r="J165" s="33"/>
      <c r="O165" s="171"/>
      <c r="P165" s="69"/>
      <c r="Q165" s="108"/>
      <c r="R165" s="98"/>
      <c r="S165" s="108"/>
      <c r="T165" s="37"/>
      <c r="U165" s="36"/>
      <c r="V165" s="36"/>
      <c r="W165" s="36"/>
      <c r="X165" s="36"/>
      <c r="Y165" s="36"/>
      <c r="Z165" s="36"/>
      <c r="AA165" s="36"/>
      <c r="AB165" s="36"/>
      <c r="AC165" s="36"/>
      <c r="AD165" s="36"/>
      <c r="AE165" s="36"/>
      <c r="AF165" s="36"/>
      <c r="AG165" s="36"/>
      <c r="AH165" s="36"/>
      <c r="AI165" s="36"/>
      <c r="AJ165" s="36"/>
      <c r="AK165" s="36"/>
      <c r="AL165" s="36"/>
      <c r="AM165" s="36"/>
      <c r="AN165" s="36"/>
      <c r="AO165" s="36"/>
      <c r="AP165" s="37"/>
      <c r="AQ165" s="37"/>
      <c r="AR165" s="37"/>
      <c r="AS165" s="37"/>
      <c r="AT165" s="37"/>
      <c r="AU165" s="37"/>
      <c r="AV165" s="37"/>
      <c r="AW165" s="37"/>
      <c r="AX165" s="37"/>
      <c r="AY165" s="37"/>
      <c r="AZ165" s="37"/>
      <c r="BA165" s="37"/>
      <c r="BB165" s="37"/>
      <c r="BC165" s="37"/>
      <c r="BD165" s="37"/>
      <c r="BE165" s="37"/>
      <c r="BF165" s="37"/>
      <c r="BG165" s="37"/>
    </row>
    <row r="166" spans="2:59" s="307" customFormat="1" ht="18" x14ac:dyDescent="0.3">
      <c r="B166" s="295" t="s">
        <v>533</v>
      </c>
      <c r="C166" s="305"/>
      <c r="D166" s="306"/>
      <c r="G166" s="305"/>
      <c r="H166" s="306"/>
      <c r="J166" s="308"/>
      <c r="K166" s="305"/>
      <c r="L166" s="305"/>
      <c r="M166" s="306"/>
      <c r="N166" s="306"/>
      <c r="O166" s="309"/>
      <c r="Q166" s="310"/>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2"/>
      <c r="AO166" s="312"/>
      <c r="AP166" s="312"/>
      <c r="AQ166" s="312"/>
      <c r="AR166" s="312"/>
      <c r="AS166" s="312"/>
      <c r="AT166" s="312"/>
      <c r="AU166" s="312"/>
      <c r="AV166" s="312"/>
      <c r="AW166" s="312"/>
      <c r="AX166" s="312"/>
      <c r="AY166" s="312"/>
      <c r="AZ166" s="312"/>
      <c r="BA166" s="312"/>
      <c r="BB166" s="312"/>
      <c r="BC166" s="312"/>
      <c r="BD166" s="312"/>
      <c r="BE166" s="312"/>
    </row>
    <row r="167" spans="2:59" s="31" customFormat="1" ht="15.5" x14ac:dyDescent="0.3">
      <c r="B167" s="9"/>
      <c r="C167" s="34"/>
      <c r="D167" s="84"/>
      <c r="G167" s="34"/>
      <c r="H167" s="84"/>
      <c r="J167" s="33"/>
      <c r="K167" s="38" t="s">
        <v>329</v>
      </c>
      <c r="L167" s="38" t="s">
        <v>201</v>
      </c>
      <c r="M167" s="84"/>
      <c r="N167" s="84"/>
      <c r="O167" s="255" t="s">
        <v>644</v>
      </c>
      <c r="Q167" s="35"/>
      <c r="R167" s="36" t="s">
        <v>350</v>
      </c>
      <c r="S167" s="36"/>
      <c r="T167" s="36"/>
      <c r="U167" s="36"/>
      <c r="V167" s="36"/>
      <c r="W167" s="36"/>
      <c r="X167" s="36"/>
      <c r="Y167" s="36"/>
      <c r="Z167" s="36"/>
      <c r="AA167" s="36"/>
      <c r="AB167" s="36"/>
      <c r="AC167" s="36"/>
      <c r="AD167" s="36"/>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9" s="31" customFormat="1" ht="31" x14ac:dyDescent="0.3">
      <c r="B168" s="78" t="s">
        <v>602</v>
      </c>
      <c r="C168" s="392" t="s">
        <v>314</v>
      </c>
      <c r="D168" s="394"/>
      <c r="G168" s="34"/>
      <c r="H168" s="84"/>
      <c r="J168" s="33" t="s">
        <v>534</v>
      </c>
      <c r="K168" s="138">
        <f>IF(ISNUMBER(L168),L168,Muut!$H$10)</f>
        <v>60</v>
      </c>
      <c r="L168" s="73"/>
      <c r="M168" s="86" t="s">
        <v>535</v>
      </c>
      <c r="N168" s="86"/>
      <c r="O168" s="256"/>
      <c r="Q168" s="35"/>
      <c r="R168" s="109" t="str">
        <f>IF(ISNUMBER(R172),R172,IF(ISNUMBER(R174),R174,""))</f>
        <v/>
      </c>
      <c r="S168" s="102" t="s">
        <v>172</v>
      </c>
      <c r="T168" s="36"/>
      <c r="U168" s="36"/>
      <c r="V168" s="36"/>
      <c r="W168" s="36"/>
      <c r="X168" s="36"/>
      <c r="Y168" s="36"/>
      <c r="Z168" s="36"/>
      <c r="AA168" s="36"/>
      <c r="AB168" s="36"/>
      <c r="AC168" s="36"/>
      <c r="AD168" s="36"/>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9" s="31" customFormat="1" ht="15.5" x14ac:dyDescent="0.3">
      <c r="B169" s="170" t="s">
        <v>536</v>
      </c>
      <c r="C169" s="160"/>
      <c r="D169" s="84" t="s">
        <v>8</v>
      </c>
      <c r="G169" s="34"/>
      <c r="H169" s="84"/>
      <c r="J169" s="33" t="s">
        <v>537</v>
      </c>
      <c r="K169" s="96">
        <f>IF(ISNUMBER(L169),L169,IF(OR(C168="Bensiini",C168="Diesel"),Muut!$H$34,Muut!$H$35))</f>
        <v>0.95</v>
      </c>
      <c r="L169" s="175" t="str">
        <f>IF(ISNUMBER(C169),C169,"--")</f>
        <v>--</v>
      </c>
      <c r="M169" s="86"/>
      <c r="N169" s="86"/>
      <c r="O169" s="257"/>
      <c r="Q169" s="35"/>
      <c r="R169" s="61"/>
      <c r="S169" s="102"/>
      <c r="T169" s="36"/>
      <c r="U169" s="36"/>
      <c r="V169" s="36"/>
      <c r="W169" s="36"/>
      <c r="X169" s="36"/>
      <c r="Y169" s="36"/>
      <c r="Z169" s="36"/>
      <c r="AA169" s="36"/>
      <c r="AB169" s="36"/>
      <c r="AC169" s="36"/>
      <c r="AD169" s="36"/>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9" s="31" customFormat="1" ht="15.5" x14ac:dyDescent="0.3">
      <c r="B170" s="54" t="s">
        <v>478</v>
      </c>
      <c r="C170" s="160"/>
      <c r="D170" s="89" t="s">
        <v>301</v>
      </c>
      <c r="G170" s="79"/>
      <c r="H170" s="84"/>
      <c r="M170" s="84"/>
      <c r="N170" s="84"/>
      <c r="O170" s="257"/>
      <c r="Q170" s="35"/>
      <c r="R170" s="99"/>
      <c r="S170" s="36"/>
      <c r="T170" s="36"/>
      <c r="U170" s="36"/>
      <c r="V170" s="36"/>
      <c r="W170" s="36"/>
      <c r="X170" s="36"/>
      <c r="Y170" s="36"/>
      <c r="Z170" s="36"/>
      <c r="AA170" s="36"/>
      <c r="AB170" s="36"/>
      <c r="AC170" s="36"/>
      <c r="AD170" s="36"/>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9" s="31" customFormat="1" ht="15.5" x14ac:dyDescent="0.3">
      <c r="B171" s="78" t="s">
        <v>480</v>
      </c>
      <c r="C171" s="34"/>
      <c r="D171" s="84"/>
      <c r="G171" s="34"/>
      <c r="H171" s="84"/>
      <c r="J171" s="33"/>
      <c r="K171" s="38"/>
      <c r="L171" s="38"/>
      <c r="M171" s="84"/>
      <c r="N171" s="84"/>
      <c r="O171" s="257"/>
      <c r="Q171" s="35"/>
      <c r="R171" s="36" t="s">
        <v>350</v>
      </c>
      <c r="S171" s="36"/>
      <c r="T171" s="36" t="s">
        <v>184</v>
      </c>
      <c r="U171" s="108"/>
      <c r="V171" s="36"/>
      <c r="W171" s="36"/>
      <c r="X171" s="36"/>
      <c r="Y171" s="36"/>
      <c r="Z171" s="36"/>
      <c r="AA171" s="36"/>
      <c r="AB171" s="36"/>
      <c r="AC171" s="36"/>
      <c r="AD171" s="36"/>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9" s="31" customFormat="1" ht="31" x14ac:dyDescent="0.3">
      <c r="B172" s="170" t="s">
        <v>539</v>
      </c>
      <c r="C172" s="156"/>
      <c r="D172" s="84" t="s">
        <v>296</v>
      </c>
      <c r="E172" s="34"/>
      <c r="G172" s="34"/>
      <c r="H172" s="84"/>
      <c r="M172" s="84"/>
      <c r="N172" s="84"/>
      <c r="O172" s="257"/>
      <c r="Q172" s="35"/>
      <c r="R172" s="109" t="str">
        <f>IF(ISNUMBER(C172),IF(AND(ISNUMBER(C170),C168="Aggregaatti"),C170*IF(D170="vuosi",365*24,IF(D170="kuukausi",30*24,IF(D170="päivä",24,1)))*Kalusto!$E$23,C172*T172),"")</f>
        <v/>
      </c>
      <c r="S172" s="102" t="s">
        <v>172</v>
      </c>
      <c r="T172" s="195" t="str">
        <f>IF(ISNUMBER(C172),IF(C168="Ostosähkö", (K168+Muut!$H$12)/1000,IF(C168="Aurinkopaneelit",(Muut!$H$24+Muut!$H$25)/1000,IF(OR(C168="Bensiini",C168="Diesel"),(Muut!$H$15+Muut!$H$14+Muut!$H$17+Muut!$H$18)/2,"Aggregaatin kerroin"))),"")</f>
        <v/>
      </c>
      <c r="U172" s="108"/>
      <c r="V172" s="36"/>
      <c r="W172" s="36"/>
      <c r="X172" s="36"/>
      <c r="Y172" s="36"/>
      <c r="Z172" s="36"/>
      <c r="AA172" s="36"/>
      <c r="AB172" s="36"/>
      <c r="AC172" s="36"/>
      <c r="AD172" s="36"/>
      <c r="AE172" s="36"/>
      <c r="AF172" s="36"/>
      <c r="AG172" s="36"/>
      <c r="AH172" s="36"/>
      <c r="AI172" s="36"/>
      <c r="AJ172" s="36"/>
      <c r="AK172" s="36"/>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9" s="31" customFormat="1" ht="15.5" x14ac:dyDescent="0.3">
      <c r="B173" s="54" t="s">
        <v>481</v>
      </c>
      <c r="C173" s="34"/>
      <c r="D173" s="84"/>
      <c r="G173" s="79"/>
      <c r="H173" s="84"/>
      <c r="M173" s="84"/>
      <c r="N173" s="84"/>
      <c r="O173" s="257"/>
      <c r="Q173" s="35"/>
      <c r="R173" s="36" t="s">
        <v>350</v>
      </c>
      <c r="S173" s="36"/>
      <c r="T173" s="36" t="s">
        <v>184</v>
      </c>
      <c r="U173" s="36"/>
      <c r="V173" s="36"/>
      <c r="W173" s="36"/>
      <c r="X173" s="36"/>
      <c r="Y173" s="36"/>
      <c r="Z173" s="36"/>
      <c r="AA173" s="36"/>
      <c r="AB173" s="36"/>
      <c r="AC173" s="36"/>
      <c r="AD173" s="36"/>
      <c r="AE173" s="36"/>
      <c r="AF173" s="36"/>
      <c r="AG173" s="36"/>
      <c r="AH173" s="36"/>
      <c r="AI173" s="36"/>
      <c r="AJ173" s="36"/>
      <c r="AK173" s="36"/>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9" s="31" customFormat="1" ht="15.5" x14ac:dyDescent="0.3">
      <c r="B174" s="45" t="s">
        <v>479</v>
      </c>
      <c r="C174" s="160"/>
      <c r="D174" s="84" t="s">
        <v>211</v>
      </c>
      <c r="G174" s="79"/>
      <c r="H174" s="84"/>
      <c r="M174" s="84"/>
      <c r="N174" s="84"/>
      <c r="O174" s="257"/>
      <c r="Q174" s="35"/>
      <c r="R174" s="109" t="str">
        <f>IF(ISNUMBER(C174),IF(AND(ISNUMBER(C170),C168="Aggregaatti"),C172*IF(D170="vuosi",365*24,IF(D170="kuukausi",30*24,IF(D170="päivä",24,1)))*Kalusto!$E$23,IF(D170="vuosi",365*24,IF(D170="kuukausi",30*24,IF(D170="päivä",24,1)))*C174*T174/K169),"")</f>
        <v/>
      </c>
      <c r="S174" s="102" t="s">
        <v>172</v>
      </c>
      <c r="T174" s="195" t="str">
        <f>IF(ISNUMBER(C174),IF(C168="Ostosähkö", (K168+Muut!$H$12)/1000/K169,IF(C168="Aurinkopaneelit",(Muut!$H$24+Muut!$H$25)/1000,IF(OR(C168="Bensiini",C168="Diesel"),(Muut!$H$15+Muut!$H$14+Muut!$H$17+Muut!$H$18)/2/K169,"Aggregaatin kerroin"))),"")</f>
        <v/>
      </c>
      <c r="U174" s="108"/>
      <c r="V174" s="36"/>
      <c r="W174" s="36"/>
      <c r="X174" s="36"/>
      <c r="Y174" s="36"/>
      <c r="Z174" s="36"/>
      <c r="AA174" s="36"/>
      <c r="AB174" s="36"/>
      <c r="AC174" s="36"/>
      <c r="AD174" s="36"/>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9" s="31" customFormat="1" ht="15.5" x14ac:dyDescent="0.3">
      <c r="D175" s="84"/>
      <c r="H175" s="84"/>
      <c r="J175" s="33"/>
      <c r="K175" s="38" t="s">
        <v>329</v>
      </c>
      <c r="L175" s="38" t="s">
        <v>201</v>
      </c>
      <c r="M175" s="84"/>
      <c r="N175" s="84"/>
      <c r="O175" s="257"/>
      <c r="Q175" s="35"/>
      <c r="R175" s="99"/>
      <c r="S175" s="36"/>
      <c r="T175" s="36"/>
      <c r="U175" s="36"/>
      <c r="V175" s="36"/>
      <c r="W175" s="36"/>
      <c r="X175" s="36"/>
      <c r="Y175" s="36"/>
      <c r="Z175" s="36"/>
      <c r="AA175" s="36"/>
      <c r="AB175" s="36"/>
      <c r="AC175" s="36"/>
      <c r="AD175" s="36"/>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9" s="31" customFormat="1" ht="15.5" x14ac:dyDescent="0.3">
      <c r="B176" s="54" t="s">
        <v>497</v>
      </c>
      <c r="C176" s="160"/>
      <c r="D176" s="84" t="s">
        <v>210</v>
      </c>
      <c r="G176" s="34"/>
      <c r="H176" s="84"/>
      <c r="J176" s="33" t="s">
        <v>492</v>
      </c>
      <c r="K176" s="96">
        <f>IF(ISNUMBER(L176),L176,Muut!$H$36)</f>
        <v>0.7</v>
      </c>
      <c r="L176" s="73"/>
      <c r="M176" s="84" t="s">
        <v>226</v>
      </c>
      <c r="N176" s="84"/>
      <c r="O176" s="257"/>
      <c r="Q176" s="35"/>
      <c r="R176" s="109">
        <f>IF(ISNUMBER(K176*C176),K176*C176,"")</f>
        <v>0</v>
      </c>
      <c r="S176" s="102" t="s">
        <v>172</v>
      </c>
      <c r="T176" s="36"/>
      <c r="U176" s="36"/>
      <c r="V176" s="36"/>
      <c r="W176" s="36"/>
      <c r="X176" s="36"/>
      <c r="Y176" s="36"/>
      <c r="Z176" s="36"/>
      <c r="AA176" s="36"/>
      <c r="AB176" s="36"/>
      <c r="AC176" s="36"/>
      <c r="AD176" s="36"/>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9" s="31" customFormat="1" ht="15.5" x14ac:dyDescent="0.3">
      <c r="B177" s="70" t="s">
        <v>490</v>
      </c>
      <c r="C177" s="97"/>
      <c r="D177" s="76" t="s">
        <v>210</v>
      </c>
      <c r="G177" s="34"/>
      <c r="H177" s="84"/>
      <c r="J177" s="71" t="s">
        <v>491</v>
      </c>
      <c r="K177" s="34"/>
      <c r="L177" s="34"/>
      <c r="M177" s="84"/>
      <c r="N177" s="84"/>
      <c r="O177" s="257"/>
      <c r="Q177" s="35"/>
      <c r="R177" s="99"/>
      <c r="S177" s="36"/>
      <c r="T177" s="36"/>
      <c r="U177" s="36"/>
      <c r="V177" s="36"/>
      <c r="W177" s="36"/>
      <c r="X177" s="36"/>
      <c r="Y177" s="36"/>
      <c r="Z177" s="36"/>
      <c r="AA177" s="36"/>
      <c r="AB177" s="36"/>
      <c r="AC177" s="36"/>
      <c r="AD177" s="36"/>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9" s="31" customFormat="1" ht="15.5" x14ac:dyDescent="0.3">
      <c r="B178" s="70" t="s">
        <v>13</v>
      </c>
      <c r="C178" s="97"/>
      <c r="D178" s="76" t="s">
        <v>210</v>
      </c>
      <c r="G178" s="34"/>
      <c r="H178" s="84"/>
      <c r="J178" s="71" t="s">
        <v>279</v>
      </c>
      <c r="K178" s="34"/>
      <c r="L178" s="34"/>
      <c r="M178" s="84"/>
      <c r="N178" s="84"/>
      <c r="O178" s="257"/>
      <c r="Q178" s="35"/>
      <c r="R178" s="99"/>
      <c r="S178" s="36"/>
      <c r="T178" s="36"/>
      <c r="U178" s="36"/>
      <c r="V178" s="36"/>
      <c r="W178" s="36"/>
      <c r="X178" s="36"/>
      <c r="Y178" s="36"/>
      <c r="Z178" s="36"/>
      <c r="AA178" s="36"/>
      <c r="AB178" s="36"/>
      <c r="AC178" s="36"/>
      <c r="AD178" s="36"/>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9" s="31" customFormat="1" ht="15.5" x14ac:dyDescent="0.3">
      <c r="C179" s="34"/>
      <c r="D179" s="84"/>
      <c r="G179" s="34"/>
      <c r="H179" s="84"/>
      <c r="O179" s="171"/>
      <c r="P179" s="69"/>
      <c r="Q179" s="108"/>
      <c r="R179" s="98"/>
      <c r="S179" s="108"/>
      <c r="T179" s="37"/>
      <c r="U179" s="36"/>
      <c r="V179" s="36"/>
      <c r="W179" s="36"/>
      <c r="X179" s="36"/>
      <c r="Y179" s="36"/>
      <c r="Z179" s="36"/>
      <c r="AA179" s="36"/>
      <c r="AB179" s="36"/>
      <c r="AC179" s="36"/>
      <c r="AD179" s="36"/>
      <c r="AE179" s="36"/>
      <c r="AF179" s="36"/>
      <c r="AG179" s="36"/>
      <c r="AH179" s="36"/>
      <c r="AI179" s="36"/>
      <c r="AJ179" s="36"/>
      <c r="AK179" s="36"/>
      <c r="AL179" s="36"/>
      <c r="AM179" s="36"/>
      <c r="AN179" s="36"/>
      <c r="AO179" s="36"/>
      <c r="AP179" s="37"/>
      <c r="AQ179" s="37"/>
      <c r="AR179" s="37"/>
      <c r="AS179" s="37"/>
      <c r="AT179" s="37"/>
      <c r="AU179" s="37"/>
      <c r="AV179" s="37"/>
      <c r="AW179" s="37"/>
      <c r="AX179" s="37"/>
      <c r="AY179" s="37"/>
      <c r="AZ179" s="37"/>
      <c r="BA179" s="37"/>
      <c r="BB179" s="37"/>
      <c r="BC179" s="37"/>
      <c r="BD179" s="37"/>
      <c r="BE179" s="37"/>
      <c r="BF179" s="37"/>
      <c r="BG179" s="37"/>
    </row>
    <row r="180" spans="2:59" s="298" customFormat="1" ht="18" x14ac:dyDescent="0.3">
      <c r="B180" s="295" t="s">
        <v>736</v>
      </c>
      <c r="C180" s="296"/>
      <c r="D180" s="297"/>
      <c r="G180" s="296"/>
      <c r="H180" s="297"/>
      <c r="K180" s="299"/>
      <c r="L180" s="299"/>
      <c r="M180" s="297"/>
      <c r="N180" s="297"/>
      <c r="O180" s="300"/>
      <c r="Q180" s="301"/>
      <c r="R180" s="302"/>
      <c r="S180" s="303"/>
      <c r="T180" s="303"/>
      <c r="U180" s="303"/>
      <c r="V180" s="303"/>
      <c r="W180" s="303"/>
      <c r="X180" s="303"/>
      <c r="Y180" s="303"/>
      <c r="Z180" s="303"/>
      <c r="AA180" s="303"/>
      <c r="AB180" s="303"/>
      <c r="AC180" s="303"/>
      <c r="AD180" s="303"/>
      <c r="AE180" s="303"/>
      <c r="AF180" s="303"/>
      <c r="AG180" s="303"/>
      <c r="AH180" s="303"/>
      <c r="AI180" s="303"/>
      <c r="AJ180" s="303"/>
      <c r="AK180" s="303"/>
      <c r="AL180" s="303"/>
      <c r="AM180" s="303"/>
      <c r="AN180" s="304"/>
      <c r="AO180" s="304"/>
      <c r="AP180" s="304"/>
      <c r="AQ180" s="304"/>
      <c r="AR180" s="304"/>
      <c r="AS180" s="304"/>
      <c r="AT180" s="304"/>
      <c r="AU180" s="304"/>
      <c r="AV180" s="304"/>
      <c r="AW180" s="304"/>
      <c r="AX180" s="304"/>
      <c r="AY180" s="304"/>
      <c r="AZ180" s="304"/>
      <c r="BA180" s="304"/>
      <c r="BB180" s="304"/>
      <c r="BC180" s="304"/>
      <c r="BD180" s="304"/>
      <c r="BE180" s="304"/>
    </row>
    <row r="181" spans="2:59" s="31" customFormat="1" ht="15.5" x14ac:dyDescent="0.3">
      <c r="C181" s="34"/>
      <c r="D181" s="84"/>
      <c r="G181" s="34"/>
      <c r="H181" s="84"/>
      <c r="J181" s="33"/>
      <c r="K181" s="34"/>
      <c r="L181" s="34"/>
      <c r="M181" s="84"/>
      <c r="N181" s="84"/>
      <c r="O181" s="255" t="s">
        <v>644</v>
      </c>
      <c r="Q181" s="35"/>
      <c r="R181" s="99"/>
      <c r="S181" s="36"/>
      <c r="T181" s="36"/>
      <c r="U181" s="36"/>
      <c r="V181" s="36"/>
      <c r="W181" s="36"/>
      <c r="X181" s="36"/>
      <c r="Y181" s="36"/>
      <c r="Z181" s="36"/>
      <c r="AA181" s="36"/>
      <c r="AB181" s="36"/>
      <c r="AC181" s="36"/>
      <c r="AD181" s="36"/>
      <c r="AE181" s="36"/>
      <c r="AF181" s="36"/>
      <c r="AG181" s="36"/>
      <c r="AH181" s="36"/>
      <c r="AI181" s="36"/>
      <c r="AJ181" s="36"/>
      <c r="AK181" s="36"/>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9" s="31" customFormat="1" ht="15.5" x14ac:dyDescent="0.3">
      <c r="B182" s="164" t="s">
        <v>335</v>
      </c>
      <c r="C182" s="34"/>
      <c r="D182" s="84"/>
      <c r="G182" s="34"/>
      <c r="H182" s="84"/>
      <c r="K182" s="38"/>
      <c r="L182" s="38"/>
      <c r="M182" s="84"/>
      <c r="N182" s="84"/>
      <c r="O182" s="256"/>
      <c r="Q182" s="35"/>
      <c r="R182" s="99"/>
      <c r="S182" s="36"/>
      <c r="T182" s="36"/>
      <c r="U182" s="36"/>
      <c r="V182" s="36"/>
      <c r="W182" s="36"/>
      <c r="X182" s="36"/>
      <c r="Y182" s="36"/>
      <c r="Z182" s="36"/>
      <c r="AA182" s="36"/>
      <c r="AB182" s="36"/>
      <c r="AC182" s="36"/>
      <c r="AD182" s="36"/>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9" s="31" customFormat="1" ht="46.5" x14ac:dyDescent="0.3">
      <c r="B183" s="78" t="s">
        <v>725</v>
      </c>
      <c r="C183" s="395" t="s">
        <v>111</v>
      </c>
      <c r="D183" s="395"/>
      <c r="E183" s="34"/>
      <c r="F183" s="34"/>
      <c r="G183" s="34"/>
      <c r="H183" s="84"/>
      <c r="K183" s="38" t="s">
        <v>329</v>
      </c>
      <c r="L183" s="38" t="s">
        <v>201</v>
      </c>
      <c r="M183" s="84" t="s">
        <v>319</v>
      </c>
      <c r="N183" s="84"/>
      <c r="O183" s="256"/>
      <c r="Q183" s="35"/>
      <c r="R183" s="36" t="s">
        <v>350</v>
      </c>
      <c r="S183" s="36"/>
      <c r="T183" s="108"/>
      <c r="U183" s="36"/>
      <c r="V183" s="36"/>
      <c r="W183" s="36"/>
      <c r="X183" s="36"/>
      <c r="Y183" s="36"/>
      <c r="Z183" s="36"/>
      <c r="AA183" s="36"/>
      <c r="AB183" s="36"/>
      <c r="AC183" s="36"/>
      <c r="AD183" s="36"/>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9" s="31" customFormat="1" ht="15.5" x14ac:dyDescent="0.3">
      <c r="B184" s="54" t="s">
        <v>363</v>
      </c>
      <c r="C184" s="162"/>
      <c r="D184" s="323" t="str">
        <f>IF(C183=Pudotusvalikot!$N$14,"Yksikkö",IF(C183=Pudotusvalikot!$N$15,Pudotusvalikot!$O$15,IF(C183=Pudotusvalikot!$N$16,Pudotusvalikot!$O$16,IF(C183=Pudotusvalikot!$N$17,Pudotusvalikot!$O$17,IF(C183=Pudotusvalikot!$N$18,Pudotusvalikot!$O$18,IF(C183=Pudotusvalikot!$N$19,Pudotusvalikot!$O$19,IF(C183=Pudotusvalikot!$N$20,Pudotusvalikot!$O$20,IF(C183=Pudotusvalikot!$N$21,Pudotusvalikot!$O$21,IF(C183=Pudotusvalikot!$N$22,Pudotusvalikot!$O$22,IF(C183=Pudotusvalikot!$N$23,Pudotusvalikot!$O$23,IF(C183=Pudotusvalikot!$N$24,Pudotusvalikot!$O$24,IF(C183=Pudotusvalikot!$N$25,Pudotusvalikot!$O$25,IF(C183=Pudotusvalikot!$N$26,Pudotusvalikot!$O$26,IF(C183=Pudotusvalikot!$N$27,Pudotusvalikot!$O$27,IF(C183=Pudotusvalikot!$N$28,Pudotusvalikot!$O$28,"Yksikkö")))))))))))))))</f>
        <v>Yksikkö</v>
      </c>
      <c r="E184" s="34"/>
      <c r="F184" s="34"/>
      <c r="G184" s="34"/>
      <c r="H184" s="84"/>
      <c r="J184" s="33" t="s">
        <v>548</v>
      </c>
      <c r="K184" s="96" t="str">
        <f>IF(ISNUMBER(L184),L184,IF(C183=Pudotusvalikot!$N$14,"--",IF(C183=Pudotusvalikot!$N$15,Materiaalit!$G$117,IF(C183=Pudotusvalikot!$N$16,Materiaalit!$G$118,IF(C183=Pudotusvalikot!$N$17,Materiaalit!$G$119,IF(C183=Pudotusvalikot!$N$18,Materiaalit!$G$120,IF(C183=Pudotusvalikot!$N$19,Materiaalit!$G$121,IF(C183=Pudotusvalikot!$N$20,Materiaalit!$G$122,IF(C183=Pudotusvalikot!$N$21,Materiaalit!$G$123,IF(C183=Pudotusvalikot!$N$22,Materiaalit!$G$124,IF(C183=Pudotusvalikot!$N$23,Materiaalit!$G$125,IF(C183=Pudotusvalikot!$N$24,Materiaalit!$G$126,IF(C183=Pudotusvalikot!$N$25,Materiaalit!$G$127,IF(C183=Pudotusvalikot!$N$26,Materiaalit!$G$128,IF(C183=Pudotusvalikot!$N$27,Materiaalit!$G$129,IF(C183=Pudotusvalikot!$N$28,Materiaalit!$G$130,"Anna kerroin"))))))))))))))))</f>
        <v>--</v>
      </c>
      <c r="L184" s="40"/>
      <c r="M184" s="96" t="str">
        <f>IF(D184="Yksikkö","--","kgCO2e/" &amp;D184)</f>
        <v>--</v>
      </c>
      <c r="N184" s="42"/>
      <c r="O184" s="259"/>
      <c r="Q184" s="35"/>
      <c r="R184" s="50" t="str">
        <f>IF(NOT(AND(ISNUMBER(K184),ISNUMBER(C184))),"",C184*K184*IF(C183=Pudotusvalikot!$N$14,1,IF(C183=Pudotusvalikot!$N$15,Materiaalit!$K$117,IF(C183=Pudotusvalikot!$N$16,Materiaalit!$K$118,IF(C183=Pudotusvalikot!$N$17,Materiaalit!$K$119,IF(C183=Pudotusvalikot!$N$18,Materiaalit!$K$120,IF(C183=Pudotusvalikot!$N$19,Materiaalit!$K$121,IF(C183=Pudotusvalikot!$N$20,Materiaalit!$K$122,IF(C183=Pudotusvalikot!$N$21,Materiaalit!$K$123,IF(C183=Pudotusvalikot!$N$22,Materiaalit!$K$124,IF(C183=Pudotusvalikot!$N$23,Materiaalit!$K$125,IF(C183=Pudotusvalikot!$N$24,Materiaalit!$K$126,IF(C183=Pudotusvalikot!$N$25,Materiaalit!$K$127,IF(C183=Pudotusvalikot!$N$26,Materiaalit!$K$128,IF(C183=Pudotusvalikot!$N$27,Materiaalit!$K$129,Materiaalit!$K$130)))))))))))))))</f>
        <v/>
      </c>
      <c r="S184" s="102" t="s">
        <v>172</v>
      </c>
      <c r="T184" s="108"/>
      <c r="U184" s="36"/>
      <c r="V184" s="36"/>
      <c r="W184" s="36"/>
      <c r="X184" s="36"/>
      <c r="Y184" s="36"/>
      <c r="Z184" s="36"/>
      <c r="AA184" s="36"/>
      <c r="AB184" s="36"/>
      <c r="AC184" s="36"/>
      <c r="AD184" s="36"/>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9" s="31" customFormat="1" ht="15.5" x14ac:dyDescent="0.3">
      <c r="B185" s="164" t="s">
        <v>336</v>
      </c>
      <c r="C185" s="34"/>
      <c r="D185" s="84"/>
      <c r="E185" s="34"/>
      <c r="G185" s="34"/>
      <c r="H185" s="84"/>
      <c r="J185" s="33"/>
      <c r="K185" s="38"/>
      <c r="L185" s="38"/>
      <c r="M185" s="38"/>
      <c r="N185" s="38"/>
      <c r="O185" s="260"/>
      <c r="Q185" s="35"/>
      <c r="R185" s="61"/>
      <c r="S185" s="36"/>
      <c r="T185" s="108"/>
      <c r="U185" s="36"/>
      <c r="V185" s="36"/>
      <c r="W185" s="36"/>
      <c r="X185" s="36"/>
      <c r="Y185" s="36"/>
      <c r="Z185" s="36"/>
      <c r="AA185" s="36"/>
      <c r="AB185" s="36"/>
      <c r="AC185" s="36"/>
      <c r="AD185" s="36"/>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9" s="31" customFormat="1" ht="46.5" x14ac:dyDescent="0.3">
      <c r="B186" s="78" t="s">
        <v>725</v>
      </c>
      <c r="C186" s="395" t="s">
        <v>111</v>
      </c>
      <c r="D186" s="395"/>
      <c r="E186" s="34"/>
      <c r="G186" s="34"/>
      <c r="H186" s="84"/>
      <c r="J186" s="33"/>
      <c r="K186" s="38" t="s">
        <v>329</v>
      </c>
      <c r="L186" s="38" t="s">
        <v>201</v>
      </c>
      <c r="M186" s="38" t="s">
        <v>319</v>
      </c>
      <c r="N186" s="38"/>
      <c r="O186" s="260"/>
      <c r="Q186" s="35"/>
      <c r="R186" s="36" t="s">
        <v>350</v>
      </c>
      <c r="S186" s="36"/>
      <c r="T186" s="108"/>
      <c r="U186" s="36"/>
      <c r="V186" s="36"/>
      <c r="W186" s="36"/>
      <c r="X186" s="36"/>
      <c r="Y186" s="36"/>
      <c r="Z186" s="36"/>
      <c r="AA186" s="36"/>
      <c r="AB186" s="36"/>
      <c r="AC186" s="36"/>
      <c r="AD186" s="36"/>
      <c r="AE186" s="36"/>
      <c r="AF186" s="36"/>
      <c r="AG186" s="36"/>
      <c r="AH186" s="36"/>
      <c r="AI186" s="36"/>
      <c r="AJ186" s="36"/>
      <c r="AK186" s="36"/>
      <c r="AL186" s="36"/>
      <c r="AM186" s="36"/>
      <c r="AN186" s="37"/>
      <c r="AO186" s="37"/>
      <c r="AP186" s="37"/>
      <c r="AQ186" s="37"/>
      <c r="AR186" s="37"/>
      <c r="AS186" s="37"/>
      <c r="AT186" s="37"/>
      <c r="AU186" s="37"/>
      <c r="AV186" s="37"/>
      <c r="AW186" s="37"/>
      <c r="AX186" s="37"/>
      <c r="AY186" s="37"/>
      <c r="AZ186" s="37"/>
      <c r="BA186" s="37"/>
      <c r="BB186" s="37"/>
      <c r="BC186" s="37"/>
      <c r="BD186" s="37"/>
      <c r="BE186" s="37"/>
    </row>
    <row r="187" spans="2:59" s="31" customFormat="1" ht="15.5" x14ac:dyDescent="0.3">
      <c r="B187" s="54" t="s">
        <v>363</v>
      </c>
      <c r="C187" s="160"/>
      <c r="D187" s="323" t="str">
        <f>IF(C186=Pudotusvalikot!$N$14,"Yksikkö",IF(C186=Pudotusvalikot!$N$15,Pudotusvalikot!$O$15,IF(C186=Pudotusvalikot!$N$16,Pudotusvalikot!$O$16,IF(C186=Pudotusvalikot!$N$17,Pudotusvalikot!$O$17,IF(C186=Pudotusvalikot!$N$18,Pudotusvalikot!$O$18,IF(C186=Pudotusvalikot!$N$19,Pudotusvalikot!$O$19,IF(C186=Pudotusvalikot!$N$20,Pudotusvalikot!$O$20,IF(C186=Pudotusvalikot!$N$21,Pudotusvalikot!$O$21,IF(C186=Pudotusvalikot!$N$22,Pudotusvalikot!$O$22,IF(C186=Pudotusvalikot!$N$23,Pudotusvalikot!$O$23,IF(C186=Pudotusvalikot!$N$24,Pudotusvalikot!$O$24,IF(C186=Pudotusvalikot!$N$25,Pudotusvalikot!$O$25,IF(C186=Pudotusvalikot!$N$26,Pudotusvalikot!$O$26,IF(C186=Pudotusvalikot!$N$27,Pudotusvalikot!$O$27,IF(C186=Pudotusvalikot!$N$28,Pudotusvalikot!$O$28,"Yksikkö")))))))))))))))</f>
        <v>Yksikkö</v>
      </c>
      <c r="E187" s="34"/>
      <c r="G187" s="34"/>
      <c r="H187" s="84"/>
      <c r="J187" s="33" t="s">
        <v>548</v>
      </c>
      <c r="K187" s="96" t="str">
        <f>IF(ISNUMBER(L187),L187,IF(C186=Pudotusvalikot!$N$14,"--",IF(C186=Pudotusvalikot!$N$15,Materiaalit!$G$117,IF(C186=Pudotusvalikot!$N$16,Materiaalit!$G$118,IF(C186=Pudotusvalikot!$N$17,Materiaalit!$G$119,IF(C186=Pudotusvalikot!$N$18,Materiaalit!$G$120,IF(C186=Pudotusvalikot!$N$19,Materiaalit!$G$121,IF(C186=Pudotusvalikot!$N$20,Materiaalit!$G$122,IF(C186=Pudotusvalikot!$N$21,Materiaalit!$G$123,IF(C186=Pudotusvalikot!$N$22,Materiaalit!$G$124,IF(C186=Pudotusvalikot!$N$23,Materiaalit!$G$125,IF(C186=Pudotusvalikot!$N$24,Materiaalit!$G$126,IF(C186=Pudotusvalikot!$N$25,Materiaalit!$G$127,IF(C186=Pudotusvalikot!$N$26,Materiaalit!$G$128,IF(C186=Pudotusvalikot!$N$27,Materiaalit!$G$129,IF(C186=Pudotusvalikot!$N$28,Materiaalit!$G$130,"Anna kerroin"))))))))))))))))</f>
        <v>--</v>
      </c>
      <c r="L187" s="40"/>
      <c r="M187" s="96" t="str">
        <f>IF(D187="Yksikkö","--","kgCO2e/" &amp;D187)</f>
        <v>--</v>
      </c>
      <c r="N187" s="42"/>
      <c r="O187" s="261"/>
      <c r="Q187" s="35"/>
      <c r="R187" s="50" t="str">
        <f>IF(NOT(AND(ISNUMBER(K187),ISNUMBER(C187))),"",C187*K187*IF(C186=Pudotusvalikot!$N$14,1,IF(C186=Pudotusvalikot!$N$15,Materiaalit!$K$117,IF(C186=Pudotusvalikot!$N$16,Materiaalit!$K$118,IF(C186=Pudotusvalikot!$N$17,Materiaalit!$K$119,IF(C186=Pudotusvalikot!$N$18,Materiaalit!$K$120,IF(C186=Pudotusvalikot!$N$19,Materiaalit!$K$121,IF(C186=Pudotusvalikot!$N$20,Materiaalit!$K$122,IF(C186=Pudotusvalikot!$N$21,Materiaalit!$K$123,IF(C186=Pudotusvalikot!$N$22,Materiaalit!$K$124,IF(C186=Pudotusvalikot!$N$23,Materiaalit!$K$125,IF(C186=Pudotusvalikot!$N$24,Materiaalit!$K$126,IF(C186=Pudotusvalikot!$N$25,Materiaalit!$K$127,IF(C186=Pudotusvalikot!$N$26,Materiaalit!$K$128,IF(C186=Pudotusvalikot!$N$27,Materiaalit!$K$129,Materiaalit!$K$130)))))))))))))))</f>
        <v/>
      </c>
      <c r="S187" s="102" t="s">
        <v>172</v>
      </c>
      <c r="T187" s="108"/>
      <c r="U187" s="36"/>
      <c r="V187" s="36"/>
      <c r="W187" s="36"/>
      <c r="X187" s="36"/>
      <c r="Y187" s="36"/>
      <c r="Z187" s="36"/>
      <c r="AA187" s="36"/>
      <c r="AB187" s="36"/>
      <c r="AC187" s="36"/>
      <c r="AD187" s="36"/>
      <c r="AE187" s="36"/>
      <c r="AF187" s="36"/>
      <c r="AG187" s="36"/>
      <c r="AH187" s="36"/>
      <c r="AI187" s="36"/>
      <c r="AJ187" s="36"/>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9" s="31" customFormat="1" ht="15.5" x14ac:dyDescent="0.3">
      <c r="B188" s="164" t="s">
        <v>337</v>
      </c>
      <c r="C188" s="34"/>
      <c r="D188" s="84"/>
      <c r="E188" s="34"/>
      <c r="G188" s="34"/>
      <c r="H188" s="84"/>
      <c r="J188" s="33"/>
      <c r="K188" s="38"/>
      <c r="L188" s="38"/>
      <c r="M188" s="38"/>
      <c r="N188" s="38"/>
      <c r="O188" s="260"/>
      <c r="Q188" s="35"/>
      <c r="R188" s="61"/>
      <c r="S188" s="36"/>
      <c r="T188" s="108"/>
      <c r="U188" s="36"/>
      <c r="V188" s="36"/>
      <c r="W188" s="36"/>
      <c r="X188" s="36"/>
      <c r="Y188" s="36"/>
      <c r="Z188" s="36"/>
      <c r="AA188" s="36"/>
      <c r="AB188" s="36"/>
      <c r="AC188" s="36"/>
      <c r="AD188" s="36"/>
      <c r="AE188" s="36"/>
      <c r="AF188" s="36"/>
      <c r="AG188" s="36"/>
      <c r="AH188" s="36"/>
      <c r="AI188" s="36"/>
      <c r="AJ188" s="36"/>
      <c r="AK188" s="36"/>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9" s="31" customFormat="1" ht="46.5" x14ac:dyDescent="0.3">
      <c r="B189" s="78" t="s">
        <v>725</v>
      </c>
      <c r="C189" s="395" t="s">
        <v>111</v>
      </c>
      <c r="D189" s="395"/>
      <c r="E189" s="34"/>
      <c r="G189" s="34"/>
      <c r="H189" s="84"/>
      <c r="J189" s="33"/>
      <c r="K189" s="38" t="s">
        <v>329</v>
      </c>
      <c r="L189" s="38" t="s">
        <v>201</v>
      </c>
      <c r="M189" s="38" t="s">
        <v>319</v>
      </c>
      <c r="N189" s="38"/>
      <c r="O189" s="260"/>
      <c r="Q189" s="35"/>
      <c r="R189" s="36" t="s">
        <v>350</v>
      </c>
      <c r="S189" s="36"/>
      <c r="T189" s="108"/>
      <c r="U189" s="36"/>
      <c r="V189" s="36"/>
      <c r="W189" s="36"/>
      <c r="X189" s="36"/>
      <c r="Y189" s="36"/>
      <c r="Z189" s="36"/>
      <c r="AA189" s="36"/>
      <c r="AB189" s="36"/>
      <c r="AC189" s="36"/>
      <c r="AD189" s="36"/>
      <c r="AE189" s="36"/>
      <c r="AF189" s="36"/>
      <c r="AG189" s="36"/>
      <c r="AH189" s="36"/>
      <c r="AI189" s="36"/>
      <c r="AJ189" s="36"/>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9" s="31" customFormat="1" ht="15.5" x14ac:dyDescent="0.3">
      <c r="B190" s="54" t="s">
        <v>363</v>
      </c>
      <c r="C190" s="160"/>
      <c r="D190" s="323" t="str">
        <f>IF(C189=Pudotusvalikot!$N$14,"Yksikkö",IF(C189=Pudotusvalikot!$N$15,Pudotusvalikot!$O$15,IF(C189=Pudotusvalikot!$N$16,Pudotusvalikot!$O$16,IF(C189=Pudotusvalikot!$N$17,Pudotusvalikot!$O$17,IF(C189=Pudotusvalikot!$N$18,Pudotusvalikot!$O$18,IF(C189=Pudotusvalikot!$N$19,Pudotusvalikot!$O$19,IF(C189=Pudotusvalikot!$N$20,Pudotusvalikot!$O$20,IF(C189=Pudotusvalikot!$N$21,Pudotusvalikot!$O$21,IF(C189=Pudotusvalikot!$N$22,Pudotusvalikot!$O$22,IF(C189=Pudotusvalikot!$N$23,Pudotusvalikot!$O$23,IF(C189=Pudotusvalikot!$N$24,Pudotusvalikot!$O$24,IF(C189=Pudotusvalikot!$N$25,Pudotusvalikot!$O$25,IF(C189=Pudotusvalikot!$N$26,Pudotusvalikot!$O$26,IF(C189=Pudotusvalikot!$N$27,Pudotusvalikot!$O$27,IF(C189=Pudotusvalikot!$N$28,Pudotusvalikot!$O$28,"Yksikkö")))))))))))))))</f>
        <v>Yksikkö</v>
      </c>
      <c r="E190" s="34"/>
      <c r="G190" s="34"/>
      <c r="H190" s="84"/>
      <c r="J190" s="33" t="s">
        <v>548</v>
      </c>
      <c r="K190" s="96" t="str">
        <f>IF(ISNUMBER(L190),L190,IF(C189=Pudotusvalikot!$N$14,"--",IF(C189=Pudotusvalikot!$N$15,Materiaalit!$G$117,IF(C189=Pudotusvalikot!$N$16,Materiaalit!$G$118,IF(C189=Pudotusvalikot!$N$17,Materiaalit!$G$119,IF(C189=Pudotusvalikot!$N$18,Materiaalit!$G$120,IF(C189=Pudotusvalikot!$N$19,Materiaalit!$G$121,IF(C189=Pudotusvalikot!$N$20,Materiaalit!$G$122,IF(C189=Pudotusvalikot!$N$21,Materiaalit!$G$123,IF(C189=Pudotusvalikot!$N$22,Materiaalit!$G$124,IF(C189=Pudotusvalikot!$N$23,Materiaalit!$G$125,IF(C189=Pudotusvalikot!$N$24,Materiaalit!$G$126,IF(C189=Pudotusvalikot!$N$25,Materiaalit!$G$127,IF(C189=Pudotusvalikot!$N$26,Materiaalit!$G$128,IF(C189=Pudotusvalikot!$N$27,Materiaalit!$G$129,IF(C189=Pudotusvalikot!$N$28,Materiaalit!$G$130,"Anna kerroin"))))))))))))))))</f>
        <v>--</v>
      </c>
      <c r="L190" s="40"/>
      <c r="M190" s="96" t="str">
        <f>IF(D190="Yksikkö","--","kgCO2e/" &amp;D190)</f>
        <v>--</v>
      </c>
      <c r="N190" s="42"/>
      <c r="O190" s="261"/>
      <c r="Q190" s="35"/>
      <c r="R190" s="50" t="str">
        <f>IF(NOT(AND(ISNUMBER(K190),ISNUMBER(C190))),"",C190*K190*IF(C189=Pudotusvalikot!$N$14,1,IF(C189=Pudotusvalikot!$N$15,Materiaalit!$K$117,IF(C189=Pudotusvalikot!$N$16,Materiaalit!$K$118,IF(C189=Pudotusvalikot!$N$17,Materiaalit!$K$119,IF(C189=Pudotusvalikot!$N$18,Materiaalit!$K$120,IF(C189=Pudotusvalikot!$N$19,Materiaalit!$K$121,IF(C189=Pudotusvalikot!$N$20,Materiaalit!$K$122,IF(C189=Pudotusvalikot!$N$21,Materiaalit!$K$123,IF(C189=Pudotusvalikot!$N$22,Materiaalit!$K$124,IF(C189=Pudotusvalikot!$N$23,Materiaalit!$K$125,IF(C189=Pudotusvalikot!$N$24,Materiaalit!$K$126,IF(C189=Pudotusvalikot!$N$25,Materiaalit!$K$127,IF(C189=Pudotusvalikot!$N$26,Materiaalit!$K$128,IF(C189=Pudotusvalikot!$N$27,Materiaalit!$K$129,Materiaalit!$K$130)))))))))))))))</f>
        <v/>
      </c>
      <c r="S190" s="102" t="s">
        <v>172</v>
      </c>
      <c r="T190" s="108"/>
      <c r="U190" s="36"/>
      <c r="V190" s="36"/>
      <c r="W190" s="36"/>
      <c r="X190" s="36"/>
      <c r="Y190" s="36"/>
      <c r="Z190" s="36"/>
      <c r="AA190" s="36"/>
      <c r="AB190" s="36"/>
      <c r="AC190" s="36"/>
      <c r="AD190" s="36"/>
      <c r="AE190" s="36"/>
      <c r="AF190" s="36"/>
      <c r="AG190" s="36"/>
      <c r="AH190" s="36"/>
      <c r="AI190" s="36"/>
      <c r="AJ190" s="36"/>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9" s="31" customFormat="1" ht="15.5" x14ac:dyDescent="0.3">
      <c r="B191" s="164" t="s">
        <v>338</v>
      </c>
      <c r="C191" s="34"/>
      <c r="D191" s="84"/>
      <c r="E191" s="34"/>
      <c r="G191" s="34"/>
      <c r="H191" s="84"/>
      <c r="J191" s="33"/>
      <c r="K191" s="38"/>
      <c r="L191" s="38"/>
      <c r="M191" s="38"/>
      <c r="N191" s="38"/>
      <c r="O191" s="260"/>
      <c r="Q191" s="35"/>
      <c r="R191" s="61"/>
      <c r="S191" s="36"/>
      <c r="T191" s="108"/>
      <c r="U191" s="36"/>
      <c r="V191" s="36"/>
      <c r="W191" s="36"/>
      <c r="X191" s="36"/>
      <c r="Y191" s="36"/>
      <c r="Z191" s="36"/>
      <c r="AA191" s="36"/>
      <c r="AB191" s="36"/>
      <c r="AC191" s="36"/>
      <c r="AD191" s="36"/>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9" s="31" customFormat="1" ht="46.5" x14ac:dyDescent="0.3">
      <c r="B192" s="78" t="s">
        <v>725</v>
      </c>
      <c r="C192" s="395" t="s">
        <v>111</v>
      </c>
      <c r="D192" s="395"/>
      <c r="E192" s="34"/>
      <c r="G192" s="34"/>
      <c r="H192" s="84"/>
      <c r="J192" s="33"/>
      <c r="K192" s="38" t="s">
        <v>329</v>
      </c>
      <c r="L192" s="38" t="s">
        <v>201</v>
      </c>
      <c r="M192" s="38" t="s">
        <v>319</v>
      </c>
      <c r="N192" s="38"/>
      <c r="O192" s="260"/>
      <c r="Q192" s="35"/>
      <c r="R192" s="36" t="s">
        <v>350</v>
      </c>
      <c r="S192" s="36"/>
      <c r="T192" s="108"/>
      <c r="U192" s="36"/>
      <c r="V192" s="36"/>
      <c r="W192" s="36"/>
      <c r="X192" s="36"/>
      <c r="Y192" s="36"/>
      <c r="Z192" s="36"/>
      <c r="AA192" s="36"/>
      <c r="AB192" s="36"/>
      <c r="AC192" s="36"/>
      <c r="AD192" s="36"/>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31" customFormat="1" ht="15.5" x14ac:dyDescent="0.3">
      <c r="B193" s="54" t="s">
        <v>363</v>
      </c>
      <c r="C193" s="160"/>
      <c r="D193" s="323" t="str">
        <f>IF(C192=Pudotusvalikot!$N$14,"Yksikkö",IF(C192=Pudotusvalikot!$N$15,Pudotusvalikot!$O$15,IF(C192=Pudotusvalikot!$N$16,Pudotusvalikot!$O$16,IF(C192=Pudotusvalikot!$N$17,Pudotusvalikot!$O$17,IF(C192=Pudotusvalikot!$N$18,Pudotusvalikot!$O$18,IF(C192=Pudotusvalikot!$N$19,Pudotusvalikot!$O$19,IF(C192=Pudotusvalikot!$N$20,Pudotusvalikot!$O$20,IF(C192=Pudotusvalikot!$N$21,Pudotusvalikot!$O$21,IF(C192=Pudotusvalikot!$N$22,Pudotusvalikot!$O$22,IF(C192=Pudotusvalikot!$N$23,Pudotusvalikot!$O$23,IF(C192=Pudotusvalikot!$N$24,Pudotusvalikot!$O$24,IF(C192=Pudotusvalikot!$N$25,Pudotusvalikot!$O$25,IF(C192=Pudotusvalikot!$N$26,Pudotusvalikot!$O$26,IF(C192=Pudotusvalikot!$N$27,Pudotusvalikot!$O$27,IF(C192=Pudotusvalikot!$N$28,Pudotusvalikot!$O$28,"Yksikkö")))))))))))))))</f>
        <v>Yksikkö</v>
      </c>
      <c r="E193" s="34"/>
      <c r="F193" s="34"/>
      <c r="G193" s="34"/>
      <c r="H193" s="84"/>
      <c r="J193" s="33" t="s">
        <v>548</v>
      </c>
      <c r="K193" s="96" t="str">
        <f>IF(ISNUMBER(L193),L193,IF(C192=Pudotusvalikot!$N$14,"--",IF(C192=Pudotusvalikot!$N$15,Materiaalit!$G$117,IF(C192=Pudotusvalikot!$N$16,Materiaalit!$G$118,IF(C192=Pudotusvalikot!$N$17,Materiaalit!$G$119,IF(C192=Pudotusvalikot!$N$18,Materiaalit!$G$120,IF(C192=Pudotusvalikot!$N$19,Materiaalit!$G$121,IF(C192=Pudotusvalikot!$N$20,Materiaalit!$G$122,IF(C192=Pudotusvalikot!$N$21,Materiaalit!$G$123,IF(C192=Pudotusvalikot!$N$22,Materiaalit!$G$124,IF(C192=Pudotusvalikot!$N$23,Materiaalit!$G$125,IF(C192=Pudotusvalikot!$N$24,Materiaalit!$G$126,IF(C192=Pudotusvalikot!$N$25,Materiaalit!$G$127,IF(C192=Pudotusvalikot!$N$26,Materiaalit!$G$128,IF(C192=Pudotusvalikot!$N$27,Materiaalit!$G$129,IF(C192=Pudotusvalikot!$N$28,Materiaalit!$G$130,"Anna kerroin"))))))))))))))))</f>
        <v>--</v>
      </c>
      <c r="L193" s="40"/>
      <c r="M193" s="96" t="str">
        <f>IF(D193="Yksikkö","--","kgCO2e/" &amp;D193)</f>
        <v>--</v>
      </c>
      <c r="N193" s="42"/>
      <c r="O193" s="261"/>
      <c r="Q193" s="35"/>
      <c r="R193" s="50" t="str">
        <f>IF(NOT(AND(ISNUMBER(K193),ISNUMBER(C193))),"",C193*K193*IF(C192=Pudotusvalikot!$N$14,1,IF(C192=Pudotusvalikot!$N$15,Materiaalit!$K$117,IF(C192=Pudotusvalikot!$N$16,Materiaalit!$K$118,IF(C192=Pudotusvalikot!$N$17,Materiaalit!$K$119,IF(C192=Pudotusvalikot!$N$18,Materiaalit!$K$120,IF(C192=Pudotusvalikot!$N$19,Materiaalit!$K$121,IF(C192=Pudotusvalikot!$N$20,Materiaalit!$K$122,IF(C192=Pudotusvalikot!$N$21,Materiaalit!$K$123,IF(C192=Pudotusvalikot!$N$22,Materiaalit!$K$124,IF(C192=Pudotusvalikot!$N$23,Materiaalit!$K$125,IF(C192=Pudotusvalikot!$N$24,Materiaalit!$K$126,IF(C192=Pudotusvalikot!$N$25,Materiaalit!$K$127,IF(C192=Pudotusvalikot!$N$26,Materiaalit!$K$128,IF(C192=Pudotusvalikot!$N$27,Materiaalit!$K$129,Materiaalit!$K$130)))))))))))))))</f>
        <v/>
      </c>
      <c r="S193" s="102" t="s">
        <v>172</v>
      </c>
      <c r="T193" s="108"/>
      <c r="U193" s="36"/>
      <c r="V193" s="36"/>
      <c r="W193" s="36"/>
      <c r="X193" s="36"/>
      <c r="Y193" s="36"/>
      <c r="Z193" s="36"/>
      <c r="AA193" s="36"/>
      <c r="AB193" s="36"/>
      <c r="AC193" s="36"/>
      <c r="AD193" s="36"/>
      <c r="AE193" s="36"/>
      <c r="AF193" s="36"/>
      <c r="AG193" s="36"/>
      <c r="AH193" s="36"/>
      <c r="AI193" s="36"/>
      <c r="AJ193" s="36"/>
      <c r="AK193" s="36"/>
      <c r="AL193" s="36"/>
      <c r="AM193" s="36"/>
      <c r="AN193" s="37"/>
      <c r="AO193" s="37"/>
      <c r="AP193" s="37"/>
      <c r="AQ193" s="37"/>
      <c r="AR193" s="37"/>
      <c r="AS193" s="37"/>
      <c r="AT193" s="37"/>
      <c r="AU193" s="37"/>
      <c r="AV193" s="37"/>
      <c r="AW193" s="37"/>
      <c r="AX193" s="37"/>
      <c r="AY193" s="37"/>
      <c r="AZ193" s="37"/>
      <c r="BA193" s="37"/>
      <c r="BB193" s="37"/>
      <c r="BC193" s="37"/>
      <c r="BD193" s="37"/>
      <c r="BE193" s="37"/>
    </row>
    <row r="194" spans="2:59" s="31" customFormat="1" ht="15.5" x14ac:dyDescent="0.3">
      <c r="B194" s="164" t="s">
        <v>339</v>
      </c>
      <c r="C194" s="34"/>
      <c r="D194" s="84"/>
      <c r="E194" s="34"/>
      <c r="G194" s="34"/>
      <c r="H194" s="84"/>
      <c r="J194" s="33"/>
      <c r="K194" s="38"/>
      <c r="L194" s="38"/>
      <c r="M194" s="38"/>
      <c r="N194" s="38"/>
      <c r="O194" s="260"/>
      <c r="Q194" s="35"/>
      <c r="R194" s="61"/>
      <c r="S194" s="36"/>
      <c r="T194" s="108"/>
      <c r="U194" s="36"/>
      <c r="V194" s="36"/>
      <c r="W194" s="36"/>
      <c r="X194" s="36"/>
      <c r="Y194" s="36"/>
      <c r="Z194" s="36"/>
      <c r="AA194" s="36"/>
      <c r="AB194" s="36"/>
      <c r="AC194" s="36"/>
      <c r="AD194" s="36"/>
      <c r="AE194" s="36"/>
      <c r="AF194" s="36"/>
      <c r="AG194" s="36"/>
      <c r="AH194" s="36"/>
      <c r="AI194" s="36"/>
      <c r="AJ194" s="36"/>
      <c r="AK194" s="36"/>
      <c r="AL194" s="36"/>
      <c r="AM194" s="36"/>
      <c r="AN194" s="37"/>
      <c r="AO194" s="37"/>
      <c r="AP194" s="37"/>
      <c r="AQ194" s="37"/>
      <c r="AR194" s="37"/>
      <c r="AS194" s="37"/>
      <c r="AT194" s="37"/>
      <c r="AU194" s="37"/>
      <c r="AV194" s="37"/>
      <c r="AW194" s="37"/>
      <c r="AX194" s="37"/>
      <c r="AY194" s="37"/>
      <c r="AZ194" s="37"/>
      <c r="BA194" s="37"/>
      <c r="BB194" s="37"/>
      <c r="BC194" s="37"/>
      <c r="BD194" s="37"/>
      <c r="BE194" s="37"/>
    </row>
    <row r="195" spans="2:59" s="31" customFormat="1" ht="46.5" x14ac:dyDescent="0.3">
      <c r="B195" s="78" t="s">
        <v>725</v>
      </c>
      <c r="C195" s="395" t="s">
        <v>111</v>
      </c>
      <c r="D195" s="395"/>
      <c r="E195" s="34"/>
      <c r="G195" s="34"/>
      <c r="H195" s="84"/>
      <c r="J195" s="33"/>
      <c r="K195" s="38" t="s">
        <v>329</v>
      </c>
      <c r="L195" s="38" t="s">
        <v>201</v>
      </c>
      <c r="M195" s="38" t="s">
        <v>319</v>
      </c>
      <c r="N195" s="38"/>
      <c r="O195" s="260"/>
      <c r="Q195" s="35"/>
      <c r="R195" s="36" t="s">
        <v>350</v>
      </c>
      <c r="S195" s="36"/>
      <c r="T195" s="108"/>
      <c r="U195" s="36"/>
      <c r="V195" s="36"/>
      <c r="W195" s="36"/>
      <c r="X195" s="36"/>
      <c r="Y195" s="36"/>
      <c r="Z195" s="36"/>
      <c r="AA195" s="36"/>
      <c r="AB195" s="36"/>
      <c r="AC195" s="36"/>
      <c r="AD195" s="36"/>
      <c r="AE195" s="36"/>
      <c r="AF195" s="36"/>
      <c r="AG195" s="36"/>
      <c r="AH195" s="36"/>
      <c r="AI195" s="36"/>
      <c r="AJ195" s="36"/>
      <c r="AK195" s="36"/>
      <c r="AL195" s="36"/>
      <c r="AM195" s="36"/>
      <c r="AN195" s="37"/>
      <c r="AO195" s="37"/>
      <c r="AP195" s="37"/>
      <c r="AQ195" s="37"/>
      <c r="AR195" s="37"/>
      <c r="AS195" s="37"/>
      <c r="AT195" s="37"/>
      <c r="AU195" s="37"/>
      <c r="AV195" s="37"/>
      <c r="AW195" s="37"/>
      <c r="AX195" s="37"/>
      <c r="AY195" s="37"/>
      <c r="AZ195" s="37"/>
      <c r="BA195" s="37"/>
      <c r="BB195" s="37"/>
      <c r="BC195" s="37"/>
      <c r="BD195" s="37"/>
      <c r="BE195" s="37"/>
    </row>
    <row r="196" spans="2:59" s="31" customFormat="1" ht="15.5" x14ac:dyDescent="0.3">
      <c r="B196" s="54" t="s">
        <v>363</v>
      </c>
      <c r="C196" s="160"/>
      <c r="D196" s="323" t="str">
        <f>IF(C195=Pudotusvalikot!$N$14,"Yksikkö",IF(C195=Pudotusvalikot!$N$15,Pudotusvalikot!$O$15,IF(C195=Pudotusvalikot!$N$16,Pudotusvalikot!$O$16,IF(C195=Pudotusvalikot!$N$17,Pudotusvalikot!$O$17,IF(C195=Pudotusvalikot!$N$18,Pudotusvalikot!$O$18,IF(C195=Pudotusvalikot!$N$19,Pudotusvalikot!$O$19,IF(C195=Pudotusvalikot!$N$20,Pudotusvalikot!$O$20,IF(C195=Pudotusvalikot!$N$21,Pudotusvalikot!$O$21,IF(C195=Pudotusvalikot!$N$22,Pudotusvalikot!$O$22,IF(C195=Pudotusvalikot!$N$23,Pudotusvalikot!$O$23,IF(C195=Pudotusvalikot!$N$24,Pudotusvalikot!$O$24,IF(C195=Pudotusvalikot!$N$25,Pudotusvalikot!$O$25,IF(C195=Pudotusvalikot!$N$26,Pudotusvalikot!$O$26,IF(C195=Pudotusvalikot!$N$27,Pudotusvalikot!$O$27,IF(C195=Pudotusvalikot!$N$28,Pudotusvalikot!$O$28,"Yksikkö")))))))))))))))</f>
        <v>Yksikkö</v>
      </c>
      <c r="E196" s="34"/>
      <c r="G196" s="34"/>
      <c r="H196" s="84"/>
      <c r="J196" s="33" t="s">
        <v>548</v>
      </c>
      <c r="K196" s="96" t="str">
        <f>IF(ISNUMBER(L196),L196,IF(C195=Pudotusvalikot!$N$14,"--",IF(C195=Pudotusvalikot!$N$15,Materiaalit!$G$117,IF(C195=Pudotusvalikot!$N$16,Materiaalit!$G$118,IF(C195=Pudotusvalikot!$N$17,Materiaalit!$G$119,IF(C195=Pudotusvalikot!$N$18,Materiaalit!$G$120,IF(C195=Pudotusvalikot!$N$19,Materiaalit!$G$121,IF(C195=Pudotusvalikot!$N$20,Materiaalit!$G$122,IF(C195=Pudotusvalikot!$N$21,Materiaalit!$G$123,IF(C195=Pudotusvalikot!$N$22,Materiaalit!$G$124,IF(C195=Pudotusvalikot!$N$23,Materiaalit!$G$125,IF(C195=Pudotusvalikot!$N$24,Materiaalit!$G$126,IF(C195=Pudotusvalikot!$N$25,Materiaalit!$G$127,IF(C195=Pudotusvalikot!$N$26,Materiaalit!$G$128,IF(C195=Pudotusvalikot!$N$27,Materiaalit!$G$129,IF(C195=Pudotusvalikot!$N$28,Materiaalit!$G$130,"Anna kerroin"))))))))))))))))</f>
        <v>--</v>
      </c>
      <c r="L196" s="40"/>
      <c r="M196" s="96" t="str">
        <f>IF(D196="Yksikkö","--","kgCO2e/" &amp;D196)</f>
        <v>--</v>
      </c>
      <c r="N196" s="42"/>
      <c r="O196" s="261"/>
      <c r="Q196" s="35"/>
      <c r="R196" s="50" t="str">
        <f>IF(NOT(AND(ISNUMBER(K196),ISNUMBER(C196))),"",C196*K196*IF(C195=Pudotusvalikot!$N$14,1,IF(C195=Pudotusvalikot!$N$15,Materiaalit!$K$117,IF(C195=Pudotusvalikot!$N$16,Materiaalit!$K$118,IF(C195=Pudotusvalikot!$N$17,Materiaalit!$K$119,IF(C195=Pudotusvalikot!$N$18,Materiaalit!$K$120,IF(C195=Pudotusvalikot!$N$19,Materiaalit!$K$121,IF(C195=Pudotusvalikot!$N$20,Materiaalit!$K$122,IF(C195=Pudotusvalikot!$N$21,Materiaalit!$K$123,IF(C195=Pudotusvalikot!$N$22,Materiaalit!$K$124,IF(C195=Pudotusvalikot!$N$23,Materiaalit!$K$125,IF(C195=Pudotusvalikot!$N$24,Materiaalit!$K$126,IF(C195=Pudotusvalikot!$N$25,Materiaalit!$K$127,IF(C195=Pudotusvalikot!$N$26,Materiaalit!$K$128,IF(C195=Pudotusvalikot!$N$27,Materiaalit!$K$129,Materiaalit!$K$130)))))))))))))))</f>
        <v/>
      </c>
      <c r="S196" s="102" t="s">
        <v>172</v>
      </c>
      <c r="T196" s="108"/>
      <c r="U196" s="36"/>
      <c r="V196" s="36"/>
      <c r="W196" s="36"/>
      <c r="X196" s="36"/>
      <c r="Y196" s="36"/>
      <c r="Z196" s="36"/>
      <c r="AA196" s="36"/>
      <c r="AB196" s="36"/>
      <c r="AC196" s="36"/>
      <c r="AD196" s="36"/>
      <c r="AE196" s="36"/>
      <c r="AF196" s="36"/>
      <c r="AG196" s="36"/>
      <c r="AH196" s="36"/>
      <c r="AI196" s="36"/>
      <c r="AJ196" s="36"/>
      <c r="AK196" s="36"/>
      <c r="AL196" s="36"/>
      <c r="AM196" s="36"/>
      <c r="AN196" s="37"/>
      <c r="AO196" s="37"/>
      <c r="AP196" s="37"/>
      <c r="AQ196" s="37"/>
      <c r="AR196" s="37"/>
      <c r="AS196" s="37"/>
      <c r="AT196" s="37"/>
      <c r="AU196" s="37"/>
      <c r="AV196" s="37"/>
      <c r="AW196" s="37"/>
      <c r="AX196" s="37"/>
      <c r="AY196" s="37"/>
      <c r="AZ196" s="37"/>
      <c r="BA196" s="37"/>
      <c r="BB196" s="37"/>
      <c r="BC196" s="37"/>
      <c r="BD196" s="37"/>
      <c r="BE196" s="37"/>
    </row>
    <row r="197" spans="2:59" s="31" customFormat="1" ht="15.5" x14ac:dyDescent="0.3">
      <c r="C197" s="34"/>
      <c r="D197" s="84"/>
      <c r="G197" s="34"/>
      <c r="H197" s="84"/>
      <c r="J197" s="33"/>
      <c r="K197" s="34"/>
      <c r="L197" s="34"/>
      <c r="M197" s="84"/>
      <c r="N197" s="84"/>
      <c r="O197" s="255"/>
      <c r="Q197" s="35"/>
      <c r="R197" s="99"/>
      <c r="S197" s="36"/>
      <c r="T197" s="36"/>
      <c r="U197" s="36"/>
      <c r="V197" s="36"/>
      <c r="W197" s="36"/>
      <c r="X197" s="36"/>
      <c r="Y197" s="36"/>
      <c r="Z197" s="36"/>
      <c r="AA197" s="36"/>
      <c r="AB197" s="36"/>
      <c r="AC197" s="36"/>
      <c r="AD197" s="36"/>
      <c r="AE197" s="36"/>
      <c r="AF197" s="36"/>
      <c r="AG197" s="36"/>
      <c r="AH197" s="36"/>
      <c r="AI197" s="36"/>
      <c r="AJ197" s="36"/>
      <c r="AK197" s="36"/>
      <c r="AL197" s="36"/>
      <c r="AM197" s="36"/>
      <c r="AN197" s="37"/>
      <c r="AO197" s="37"/>
      <c r="AP197" s="37"/>
      <c r="AQ197" s="37"/>
      <c r="AR197" s="37"/>
      <c r="AS197" s="37"/>
      <c r="AT197" s="37"/>
      <c r="AU197" s="37"/>
      <c r="AV197" s="37"/>
      <c r="AW197" s="37"/>
      <c r="AX197" s="37"/>
      <c r="AY197" s="37"/>
      <c r="AZ197" s="37"/>
      <c r="BA197" s="37"/>
      <c r="BB197" s="37"/>
      <c r="BC197" s="37"/>
      <c r="BD197" s="37"/>
      <c r="BE197" s="37"/>
    </row>
    <row r="198" spans="2:59" s="298" customFormat="1" ht="18" x14ac:dyDescent="0.3">
      <c r="B198" s="295" t="s">
        <v>735</v>
      </c>
      <c r="C198" s="296"/>
      <c r="D198" s="297"/>
      <c r="G198" s="296"/>
      <c r="H198" s="297"/>
      <c r="K198" s="299"/>
      <c r="L198" s="299"/>
      <c r="M198" s="297"/>
      <c r="N198" s="297"/>
      <c r="O198" s="300"/>
      <c r="Q198" s="301"/>
      <c r="R198" s="302"/>
      <c r="S198" s="303"/>
      <c r="T198" s="303"/>
      <c r="U198" s="303"/>
      <c r="V198" s="303"/>
      <c r="W198" s="303"/>
      <c r="X198" s="303"/>
      <c r="Y198" s="303"/>
      <c r="Z198" s="303"/>
      <c r="AA198" s="303"/>
      <c r="AB198" s="303"/>
      <c r="AC198" s="303"/>
      <c r="AD198" s="303"/>
      <c r="AE198" s="303"/>
      <c r="AF198" s="303"/>
      <c r="AG198" s="303"/>
      <c r="AH198" s="303"/>
      <c r="AI198" s="303"/>
      <c r="AJ198" s="303"/>
      <c r="AK198" s="303"/>
      <c r="AL198" s="303"/>
      <c r="AM198" s="303"/>
      <c r="AN198" s="304"/>
      <c r="AO198" s="304"/>
      <c r="AP198" s="304"/>
      <c r="AQ198" s="304"/>
      <c r="AR198" s="304"/>
      <c r="AS198" s="304"/>
      <c r="AT198" s="304"/>
      <c r="AU198" s="304"/>
      <c r="AV198" s="304"/>
      <c r="AW198" s="304"/>
      <c r="AX198" s="304"/>
      <c r="AY198" s="304"/>
      <c r="AZ198" s="304"/>
      <c r="BA198" s="304"/>
      <c r="BB198" s="304"/>
      <c r="BC198" s="304"/>
      <c r="BD198" s="304"/>
      <c r="BE198" s="304"/>
    </row>
    <row r="199" spans="2:59" s="31" customFormat="1" ht="15.5" x14ac:dyDescent="0.3">
      <c r="B199" s="9"/>
      <c r="C199" s="34"/>
      <c r="D199" s="84"/>
      <c r="G199" s="34"/>
      <c r="H199" s="84"/>
      <c r="J199" s="33"/>
      <c r="K199" s="34"/>
      <c r="L199" s="34"/>
      <c r="M199" s="84"/>
      <c r="N199" s="84"/>
      <c r="O199" s="255" t="s">
        <v>644</v>
      </c>
      <c r="P199" s="69"/>
      <c r="Q199" s="108"/>
      <c r="R199" s="99"/>
      <c r="S199" s="137"/>
      <c r="T199" s="37"/>
      <c r="U199" s="36"/>
      <c r="V199" s="36"/>
      <c r="W199" s="36"/>
      <c r="X199" s="36"/>
      <c r="Y199" s="36"/>
      <c r="Z199" s="36"/>
      <c r="AA199" s="36"/>
      <c r="AB199" s="36"/>
      <c r="AC199" s="36"/>
      <c r="AD199" s="36"/>
      <c r="AE199" s="36"/>
      <c r="AF199" s="36"/>
      <c r="AG199" s="36"/>
      <c r="AH199" s="36"/>
      <c r="AI199" s="36"/>
      <c r="AJ199" s="36"/>
      <c r="AK199" s="36"/>
      <c r="AL199" s="36"/>
      <c r="AM199" s="36"/>
      <c r="AN199" s="36"/>
      <c r="AO199" s="36"/>
      <c r="AP199" s="37"/>
      <c r="AQ199" s="37"/>
      <c r="AR199" s="37"/>
      <c r="AS199" s="37"/>
      <c r="AT199" s="37"/>
      <c r="AU199" s="37"/>
      <c r="AV199" s="37"/>
      <c r="AW199" s="37"/>
      <c r="AX199" s="37"/>
      <c r="AY199" s="37"/>
      <c r="AZ199" s="37"/>
      <c r="BA199" s="37"/>
      <c r="BB199" s="37"/>
      <c r="BC199" s="37"/>
      <c r="BD199" s="37"/>
      <c r="BE199" s="37"/>
      <c r="BF199" s="37"/>
      <c r="BG199" s="37"/>
    </row>
    <row r="200" spans="2:59" s="31" customFormat="1" ht="45.75" customHeight="1" x14ac:dyDescent="0.3">
      <c r="B200" s="398" t="s">
        <v>568</v>
      </c>
      <c r="C200" s="398"/>
      <c r="D200" s="398"/>
      <c r="E200" s="398"/>
      <c r="F200" s="398"/>
      <c r="G200" s="398"/>
      <c r="H200" s="398"/>
      <c r="J200" s="33"/>
      <c r="K200" s="42"/>
      <c r="L200" s="42"/>
      <c r="M200" s="41"/>
      <c r="N200" s="41"/>
      <c r="O200" s="256"/>
      <c r="Q200" s="35"/>
      <c r="R200" s="61"/>
      <c r="S200" s="102"/>
      <c r="T200" s="36"/>
      <c r="U200" s="36"/>
      <c r="V200" s="36"/>
      <c r="W200" s="36"/>
      <c r="X200" s="36"/>
      <c r="Y200" s="36"/>
      <c r="Z200" s="36"/>
      <c r="AA200" s="36"/>
      <c r="AB200" s="108"/>
      <c r="AC200" s="36"/>
      <c r="AD200" s="36"/>
      <c r="AE200" s="36"/>
      <c r="AF200" s="36"/>
      <c r="AG200" s="36"/>
      <c r="AH200" s="36"/>
      <c r="AI200" s="36"/>
      <c r="AJ200" s="36"/>
      <c r="AK200" s="36"/>
      <c r="AL200" s="36"/>
      <c r="AM200" s="36"/>
      <c r="AN200" s="37"/>
      <c r="AO200" s="37"/>
      <c r="AP200" s="37"/>
      <c r="AQ200" s="37"/>
      <c r="AR200" s="37"/>
      <c r="AS200" s="37"/>
      <c r="AT200" s="37"/>
      <c r="AU200" s="37"/>
      <c r="AV200" s="37"/>
      <c r="AW200" s="37"/>
      <c r="AX200" s="37"/>
      <c r="AY200" s="37"/>
      <c r="AZ200" s="37"/>
      <c r="BA200" s="37"/>
      <c r="BB200" s="37"/>
      <c r="BC200" s="37"/>
      <c r="BD200" s="37"/>
      <c r="BE200" s="37"/>
    </row>
    <row r="201" spans="2:59" s="31" customFormat="1" ht="60.75" customHeight="1" x14ac:dyDescent="0.3">
      <c r="B201" s="398" t="s">
        <v>729</v>
      </c>
      <c r="C201" s="398"/>
      <c r="D201" s="398"/>
      <c r="E201" s="398"/>
      <c r="F201" s="398"/>
      <c r="G201" s="398"/>
      <c r="H201" s="398"/>
      <c r="J201" s="33"/>
      <c r="K201" s="42"/>
      <c r="L201" s="42"/>
      <c r="M201" s="41"/>
      <c r="N201" s="41"/>
      <c r="O201" s="256"/>
      <c r="Q201" s="35"/>
      <c r="R201" s="61"/>
      <c r="S201" s="102"/>
      <c r="T201" s="36"/>
      <c r="U201" s="36"/>
      <c r="V201" s="36"/>
      <c r="W201" s="36"/>
      <c r="X201" s="36"/>
      <c r="Y201" s="36"/>
      <c r="Z201" s="36"/>
      <c r="AA201" s="36"/>
      <c r="AB201" s="108"/>
      <c r="AC201" s="36"/>
      <c r="AD201" s="36"/>
      <c r="AE201" s="36"/>
      <c r="AF201" s="36"/>
      <c r="AG201" s="36"/>
      <c r="AH201" s="36"/>
      <c r="AI201" s="36"/>
      <c r="AJ201" s="36"/>
      <c r="AK201" s="36"/>
      <c r="AL201" s="36"/>
      <c r="AM201" s="36"/>
      <c r="AN201" s="37"/>
      <c r="AO201" s="37"/>
      <c r="AP201" s="37"/>
      <c r="AQ201" s="37"/>
      <c r="AR201" s="37"/>
      <c r="AS201" s="37"/>
      <c r="AT201" s="37"/>
      <c r="AU201" s="37"/>
      <c r="AV201" s="37"/>
      <c r="AW201" s="37"/>
      <c r="AX201" s="37"/>
      <c r="AY201" s="37"/>
      <c r="AZ201" s="37"/>
      <c r="BA201" s="37"/>
      <c r="BB201" s="37"/>
      <c r="BC201" s="37"/>
      <c r="BD201" s="37"/>
      <c r="BE201" s="37"/>
    </row>
    <row r="202" spans="2:59" s="31" customFormat="1" ht="15.5" x14ac:dyDescent="0.3">
      <c r="B202" s="9"/>
      <c r="C202" s="34"/>
      <c r="D202" s="84"/>
      <c r="G202" s="34"/>
      <c r="H202" s="84"/>
      <c r="J202" s="33"/>
      <c r="K202" s="34"/>
      <c r="L202" s="34"/>
      <c r="M202" s="84"/>
      <c r="N202" s="84"/>
      <c r="O202" s="257"/>
      <c r="Q202" s="35"/>
      <c r="R202" s="99"/>
      <c r="S202" s="137"/>
      <c r="T202" s="37"/>
      <c r="U202" s="36"/>
      <c r="V202" s="36"/>
      <c r="W202" s="36"/>
      <c r="X202" s="36"/>
      <c r="Y202" s="36"/>
      <c r="Z202" s="36"/>
      <c r="AA202" s="36"/>
      <c r="AB202" s="36"/>
      <c r="AC202" s="36"/>
      <c r="AD202" s="36"/>
      <c r="AE202" s="36"/>
      <c r="AF202" s="36"/>
      <c r="AG202" s="36"/>
      <c r="AH202" s="36"/>
      <c r="AI202" s="36"/>
      <c r="AJ202" s="36"/>
      <c r="AK202" s="36"/>
      <c r="AL202" s="36"/>
      <c r="AM202" s="36"/>
      <c r="AN202" s="36"/>
      <c r="AO202" s="36"/>
      <c r="AP202" s="37"/>
      <c r="AQ202" s="37"/>
      <c r="AR202" s="37"/>
      <c r="AS202" s="37"/>
      <c r="AT202" s="37"/>
      <c r="AU202" s="37"/>
      <c r="AV202" s="37"/>
      <c r="AW202" s="37"/>
      <c r="AX202" s="37"/>
      <c r="AY202" s="37"/>
      <c r="AZ202" s="37"/>
      <c r="BA202" s="37"/>
      <c r="BB202" s="37"/>
      <c r="BC202" s="37"/>
      <c r="BD202" s="37"/>
      <c r="BE202" s="37"/>
      <c r="BF202" s="37"/>
      <c r="BG202" s="37"/>
    </row>
    <row r="203" spans="2:59" s="31" customFormat="1" ht="15.5" x14ac:dyDescent="0.3">
      <c r="B203" s="9" t="str">
        <f>B182</f>
        <v>Kemikaali-, tuote- tai materiaalilaji 1</v>
      </c>
      <c r="C203" s="34"/>
      <c r="D203" s="84"/>
      <c r="G203" s="34"/>
      <c r="H203" s="84"/>
      <c r="J203" s="33"/>
      <c r="K203" s="34"/>
      <c r="L203" s="34"/>
      <c r="M203" s="84"/>
      <c r="N203" s="84"/>
      <c r="O203" s="257"/>
      <c r="Q203" s="35"/>
      <c r="R203" s="36" t="s">
        <v>350</v>
      </c>
      <c r="S203" s="36"/>
      <c r="T203" s="36"/>
      <c r="U203" s="36"/>
      <c r="V203" s="36"/>
      <c r="W203" s="36"/>
      <c r="X203" s="36"/>
      <c r="Y203" s="36"/>
      <c r="Z203" s="36"/>
      <c r="AA203" s="36"/>
      <c r="AB203" s="108"/>
      <c r="AC203" s="36"/>
      <c r="AD203" s="36"/>
      <c r="AE203" s="36"/>
      <c r="AF203" s="36"/>
      <c r="AG203" s="36"/>
      <c r="AH203" s="36"/>
      <c r="AI203" s="36"/>
      <c r="AJ203" s="36"/>
      <c r="AK203" s="36"/>
      <c r="AL203" s="36"/>
      <c r="AM203" s="36"/>
      <c r="AN203" s="37"/>
      <c r="AO203" s="37"/>
      <c r="AP203" s="37"/>
      <c r="AQ203" s="37"/>
      <c r="AR203" s="37"/>
      <c r="AS203" s="37"/>
      <c r="AT203" s="37"/>
      <c r="AU203" s="37"/>
      <c r="AV203" s="37"/>
      <c r="AW203" s="37"/>
      <c r="AX203" s="37"/>
      <c r="AY203" s="37"/>
      <c r="AZ203" s="37"/>
      <c r="BA203" s="37"/>
      <c r="BB203" s="37"/>
      <c r="BC203" s="37"/>
      <c r="BD203" s="37"/>
      <c r="BE203" s="37"/>
    </row>
    <row r="204" spans="2:59" s="31" customFormat="1" ht="15.5" x14ac:dyDescent="0.3">
      <c r="B204" s="54" t="s">
        <v>375</v>
      </c>
      <c r="C204" s="160"/>
      <c r="D204" s="84" t="s">
        <v>281</v>
      </c>
      <c r="G204" s="34" t="s">
        <v>340</v>
      </c>
      <c r="H204" s="84"/>
      <c r="J204" s="33"/>
      <c r="K204" s="38" t="s">
        <v>329</v>
      </c>
      <c r="L204" s="38" t="s">
        <v>201</v>
      </c>
      <c r="M204" s="84"/>
      <c r="N204" s="84"/>
      <c r="O204" s="257"/>
      <c r="Q204" s="35"/>
      <c r="R204" s="50" t="str">
        <f>IF(AND(ISNUMBER(G205),ISNUMBER(C204)),SUM(R205,R208:R210),"")</f>
        <v/>
      </c>
      <c r="S204" s="102" t="s">
        <v>172</v>
      </c>
      <c r="T204" s="36"/>
      <c r="U204" s="36"/>
      <c r="V204" s="36"/>
      <c r="W204" s="36"/>
      <c r="X204" s="36"/>
      <c r="Y204" s="36"/>
      <c r="Z204" s="36"/>
      <c r="AA204" s="36"/>
      <c r="AB204" s="108"/>
      <c r="AC204" s="36"/>
      <c r="AD204" s="36"/>
      <c r="AE204" s="36"/>
      <c r="AF204" s="36"/>
      <c r="AG204" s="36"/>
      <c r="AH204" s="36"/>
      <c r="AI204" s="36"/>
      <c r="AJ204" s="36"/>
      <c r="AK204" s="36"/>
      <c r="AL204" s="36"/>
      <c r="AM204" s="36"/>
      <c r="AN204" s="37"/>
      <c r="AO204" s="37"/>
      <c r="AP204" s="37"/>
      <c r="AQ204" s="37"/>
      <c r="AR204" s="37"/>
      <c r="AS204" s="37"/>
      <c r="AT204" s="37"/>
      <c r="AU204" s="37"/>
      <c r="AV204" s="37"/>
      <c r="AW204" s="37"/>
      <c r="AX204" s="37"/>
      <c r="AY204" s="37"/>
      <c r="AZ204" s="37"/>
      <c r="BA204" s="37"/>
      <c r="BB204" s="37"/>
      <c r="BC204" s="37"/>
      <c r="BD204" s="37"/>
      <c r="BE204" s="37"/>
    </row>
    <row r="205" spans="2:59" s="31" customFormat="1" ht="46.5" x14ac:dyDescent="0.3">
      <c r="B205" s="155" t="s">
        <v>727</v>
      </c>
      <c r="C205" s="396" t="s">
        <v>283</v>
      </c>
      <c r="D205" s="397"/>
      <c r="G205" s="156"/>
      <c r="H205" s="84" t="s">
        <v>5</v>
      </c>
      <c r="J205" s="173" t="s">
        <v>441</v>
      </c>
      <c r="K205" s="96">
        <f>IF(ISNUMBER(L205),L205,IF(C205=Pudotusvalikot!$N$4,Kalusto!$G$105,IF(C205=Pudotusvalikot!$N$5,Kalusto!$G$106,IF(C205=Pudotusvalikot!$N$6,Kalusto!$G$107,IF(C205=Pudotusvalikot!$N$7,Kalusto!$G$108,Kalusto!$G$105))))*IF(OR(C207=Pudotusvalikot!$V$3,C207=Pudotusvalikot!$V$4),Muut!$E$38,IF(C207=Pudotusvalikot!$V$5,Muut!$E$39,IF(C207=Pudotusvalikot!$V$6,Muut!$E$40,Muut!$E$41))))</f>
        <v>4.9950000000000001E-2</v>
      </c>
      <c r="L205" s="40"/>
      <c r="M205" s="41" t="s">
        <v>200</v>
      </c>
      <c r="N205" s="41"/>
      <c r="O205" s="256"/>
      <c r="Q205" s="35"/>
      <c r="R205" s="50" t="str">
        <f>IF(ISNUMBER(Y206*X206*K205),Y206*X206*K205,"")</f>
        <v/>
      </c>
      <c r="S205" s="102" t="s">
        <v>172</v>
      </c>
      <c r="T205" s="36" t="s">
        <v>446</v>
      </c>
      <c r="U205" s="36" t="s">
        <v>384</v>
      </c>
      <c r="V205" s="36" t="s">
        <v>443</v>
      </c>
      <c r="W205" s="36" t="s">
        <v>444</v>
      </c>
      <c r="X205" s="36" t="s">
        <v>447</v>
      </c>
      <c r="Y205" s="36" t="s">
        <v>449</v>
      </c>
      <c r="Z205" s="36" t="s">
        <v>374</v>
      </c>
      <c r="AA205" s="36"/>
      <c r="AB205" s="108"/>
      <c r="AC205" s="36"/>
      <c r="AD205" s="36"/>
      <c r="AE205" s="36"/>
      <c r="AF205" s="36"/>
      <c r="AG205" s="36"/>
      <c r="AH205" s="36"/>
      <c r="AI205" s="36"/>
      <c r="AJ205" s="36"/>
      <c r="AK205" s="36"/>
      <c r="AL205" s="36"/>
      <c r="AM205" s="36"/>
      <c r="AN205" s="37"/>
      <c r="AO205" s="37"/>
      <c r="AP205" s="37"/>
      <c r="AQ205" s="37"/>
      <c r="AR205" s="37"/>
      <c r="AS205" s="37"/>
      <c r="AT205" s="37"/>
      <c r="AU205" s="37"/>
      <c r="AV205" s="37"/>
      <c r="AW205" s="37"/>
      <c r="AX205" s="37"/>
      <c r="AY205" s="37"/>
      <c r="AZ205" s="37"/>
      <c r="BA205" s="37"/>
      <c r="BB205" s="37"/>
      <c r="BC205" s="37"/>
      <c r="BD205" s="37"/>
      <c r="BE205" s="37"/>
    </row>
    <row r="206" spans="2:59" s="31" customFormat="1" ht="31" x14ac:dyDescent="0.3">
      <c r="B206" s="78" t="s">
        <v>530</v>
      </c>
      <c r="C206" s="392" t="s">
        <v>93</v>
      </c>
      <c r="D206" s="393"/>
      <c r="E206" s="393"/>
      <c r="F206" s="393"/>
      <c r="G206" s="394"/>
      <c r="J206" s="33"/>
      <c r="K206" s="38" t="s">
        <v>329</v>
      </c>
      <c r="L206" s="38" t="s">
        <v>201</v>
      </c>
      <c r="M206" s="41"/>
      <c r="N206" s="41"/>
      <c r="O206" s="256"/>
      <c r="Q206" s="47"/>
      <c r="R206" s="108"/>
      <c r="S206" s="36"/>
      <c r="T206" s="48" t="str">
        <f>IF(ISNUMBER(L205),"Kohdetieto",IF(OR(C206=Pudotusvalikot!$D$14,C206=Pudotusvalikot!$D$15),Kalusto!$I$96,VLOOKUP(C206,Kalusto!$C$44:$L$83,7,FALSE)))</f>
        <v>Puoliperävaunu</v>
      </c>
      <c r="U206" s="48">
        <f>IF(ISNUMBER(L205),"Kohdetieto",IF(OR(C206=Pudotusvalikot!$D$14,C206=Pudotusvalikot!$D$15),Kalusto!$J$96,VLOOKUP(C206,Kalusto!$C$44:$L$83,8,FALSE)))</f>
        <v>40</v>
      </c>
      <c r="V206" s="49">
        <f>IF(ISNUMBER(L205),"Kohdetieto",IF(OR(C206=Pudotusvalikot!$D$14,C206=Pudotusvalikot!$D$15),Kalusto!$K$96,VLOOKUP(C206,Kalusto!$C$44:$L$83,9,FALSE)))</f>
        <v>0.8</v>
      </c>
      <c r="W206" s="49" t="str">
        <f>IF(ISNUMBER(L205),"Kohdetieto",IF(OR(C206=Pudotusvalikot!$D$14,C206=Pudotusvalikot!$D$15),Kalusto!$L$96,VLOOKUP(C206,Kalusto!$C$44:$L$83,10,FALSE)))</f>
        <v>maantieajo</v>
      </c>
      <c r="X206" s="50" t="str">
        <f>IF(ISBLANK(C204),"",C204/1000)</f>
        <v/>
      </c>
      <c r="Y206" s="48" t="str">
        <f>IF(ISNUMBER(G205),G205,"")</f>
        <v/>
      </c>
      <c r="Z206" s="51">
        <f>IF(ISNUMBER(L205),L205,K205)</f>
        <v>4.9950000000000001E-2</v>
      </c>
      <c r="AA206" s="36"/>
      <c r="AB206" s="108"/>
      <c r="AC206" s="36"/>
      <c r="AD206" s="36"/>
      <c r="AE206" s="36"/>
      <c r="AF206" s="36"/>
      <c r="AG206" s="36"/>
      <c r="AH206" s="36"/>
      <c r="AI206" s="36"/>
      <c r="AJ206" s="36"/>
      <c r="AK206" s="36"/>
      <c r="AL206" s="36"/>
      <c r="AM206" s="36"/>
      <c r="AN206" s="37"/>
      <c r="AO206" s="37"/>
      <c r="AP206" s="37"/>
      <c r="AQ206" s="37"/>
      <c r="AR206" s="37"/>
      <c r="AS206" s="37"/>
      <c r="AT206" s="37"/>
      <c r="AU206" s="37"/>
      <c r="AV206" s="37"/>
      <c r="AW206" s="37"/>
      <c r="AX206" s="37"/>
      <c r="AY206" s="37"/>
      <c r="AZ206" s="37"/>
      <c r="BA206" s="37"/>
      <c r="BB206" s="37"/>
      <c r="BC206" s="37"/>
      <c r="BD206" s="37"/>
      <c r="BE206" s="37"/>
    </row>
    <row r="207" spans="2:59" s="31" customFormat="1" ht="15.5" x14ac:dyDescent="0.3">
      <c r="B207" s="78" t="s">
        <v>506</v>
      </c>
      <c r="C207" s="160" t="s">
        <v>242</v>
      </c>
      <c r="D207" s="34"/>
      <c r="E207" s="34"/>
      <c r="F207" s="34"/>
      <c r="G207" s="34"/>
      <c r="H207" s="59"/>
      <c r="J207" s="173"/>
      <c r="K207" s="173"/>
      <c r="L207" s="173"/>
      <c r="M207" s="41"/>
      <c r="N207" s="41"/>
      <c r="O207" s="256"/>
      <c r="Q207" s="47"/>
      <c r="R207" s="36"/>
      <c r="S207" s="36"/>
      <c r="T207" s="36"/>
      <c r="U207" s="36"/>
      <c r="V207" s="181"/>
      <c r="W207" s="181"/>
      <c r="X207" s="61"/>
      <c r="Y207" s="36"/>
      <c r="Z207" s="61"/>
      <c r="AA207" s="182"/>
      <c r="AB207" s="61"/>
      <c r="AC207" s="61"/>
      <c r="AD207" s="61"/>
      <c r="AE207" s="61"/>
      <c r="AF207" s="182"/>
      <c r="AG207" s="61"/>
      <c r="AH207" s="36"/>
      <c r="AI207" s="36"/>
      <c r="AJ207" s="36"/>
      <c r="AK207" s="108"/>
      <c r="AL207" s="36"/>
      <c r="AM207" s="36"/>
      <c r="AN207" s="37"/>
      <c r="AO207" s="37"/>
      <c r="AP207" s="37"/>
      <c r="AQ207" s="37"/>
      <c r="AR207" s="37"/>
      <c r="AS207" s="37"/>
      <c r="AT207" s="37"/>
      <c r="AU207" s="37"/>
      <c r="AV207" s="37"/>
      <c r="AW207" s="37"/>
      <c r="AX207" s="37"/>
      <c r="AY207" s="37"/>
      <c r="AZ207" s="37"/>
      <c r="BA207" s="37"/>
      <c r="BB207" s="37"/>
      <c r="BC207" s="37"/>
      <c r="BD207" s="37"/>
      <c r="BE207" s="37"/>
    </row>
    <row r="208" spans="2:59" s="31" customFormat="1" ht="15.5" x14ac:dyDescent="0.3">
      <c r="B208" s="155" t="s">
        <v>542</v>
      </c>
      <c r="C208" s="395" t="s">
        <v>283</v>
      </c>
      <c r="D208" s="395"/>
      <c r="E208" s="169"/>
      <c r="G208" s="156"/>
      <c r="H208" s="84" t="s">
        <v>5</v>
      </c>
      <c r="J208" s="33" t="str">
        <f>IF(C208="Kuljetus","Ei oletusta","Oletus (" &amp; IF(C208="Tiekuljetus",Kalusto!$C$105,IF(C208="Raidekuljetus",Kalusto!$C$106,IF(C208="Laivarahti",Kalusto!$C$107,Kalusto!$C$108))) &amp; ")" )</f>
        <v>Oletus (Puoliperävaunuyhdistelmä, 40 t, 100 % kuorma, maantieajo)</v>
      </c>
      <c r="K208" s="96">
        <f>IF(ISNUMBER(L208),L208,IF(C208=Pudotusvalikot!$N$4,Kalusto!$G$105,IF(C208=Pudotusvalikot!$N$5,Kalusto!$G$106,IF(C208=Pudotusvalikot!$N$6,Kalusto!$G$107,IF(C208=Pudotusvalikot!$N$7,Kalusto!$G$108,Kalusto!$G$105)))))</f>
        <v>4.9950000000000001E-2</v>
      </c>
      <c r="L208" s="40"/>
      <c r="M208" s="41" t="s">
        <v>200</v>
      </c>
      <c r="N208" s="41"/>
      <c r="O208" s="256"/>
      <c r="Q208" s="35"/>
      <c r="R208" s="50" t="str">
        <f>IF(AND(ISNUMBER(G205)*ISNUMBER(C204)),K208*G208*C204,"")</f>
        <v/>
      </c>
      <c r="S208" s="102" t="s">
        <v>172</v>
      </c>
      <c r="T208" s="36"/>
      <c r="U208" s="36"/>
      <c r="V208" s="36"/>
      <c r="W208" s="36"/>
      <c r="X208" s="36"/>
      <c r="Y208" s="36"/>
      <c r="Z208" s="36"/>
      <c r="AA208" s="36"/>
      <c r="AB208" s="108"/>
      <c r="AC208" s="36"/>
      <c r="AD208" s="36"/>
      <c r="AE208" s="36"/>
      <c r="AF208" s="36"/>
      <c r="AG208" s="36"/>
      <c r="AH208" s="36"/>
      <c r="AI208" s="36"/>
      <c r="AJ208" s="36"/>
      <c r="AK208" s="36"/>
      <c r="AL208" s="36"/>
      <c r="AM208" s="36"/>
      <c r="AN208" s="37"/>
      <c r="AO208" s="37"/>
      <c r="AP208" s="37"/>
      <c r="AQ208" s="37"/>
      <c r="AR208" s="37"/>
      <c r="AS208" s="37"/>
      <c r="AT208" s="37"/>
      <c r="AU208" s="37"/>
      <c r="AV208" s="37"/>
      <c r="AW208" s="37"/>
      <c r="AX208" s="37"/>
      <c r="AY208" s="37"/>
      <c r="AZ208" s="37"/>
      <c r="BA208" s="37"/>
      <c r="BB208" s="37"/>
      <c r="BC208" s="37"/>
      <c r="BD208" s="37"/>
      <c r="BE208" s="37"/>
    </row>
    <row r="209" spans="2:57" s="31" customFormat="1" ht="15.5" x14ac:dyDescent="0.3">
      <c r="B209" s="155" t="s">
        <v>542</v>
      </c>
      <c r="C209" s="395" t="s">
        <v>284</v>
      </c>
      <c r="D209" s="395"/>
      <c r="E209" s="169"/>
      <c r="G209" s="156"/>
      <c r="H209" s="84" t="s">
        <v>5</v>
      </c>
      <c r="J209" s="33" t="str">
        <f>IF(C209="Kuljetus","Ei oletusta","Oletus (" &amp; IF(C209="Tiekuljetus",Kalusto!$C$105,IF(C209="Raidekuljetus",Kalusto!$C$106,IF(C209="Laivarahti",Kalusto!$C$107,Kalusto!$C$108))) &amp; ")" )</f>
        <v>Oletus (Merikuljetus, konttilaiva, 1000 TEU)</v>
      </c>
      <c r="K209" s="96">
        <f>IF(ISNUMBER(L209),L209,IF(C209=Pudotusvalikot!$N$4,Kalusto!$G$105,IF(C209=Pudotusvalikot!$N$5,Kalusto!$G$106,IF(C209=Pudotusvalikot!$N$6,Kalusto!$G$107,IF(C209=Pudotusvalikot!$N$7,Kalusto!$G$108,"--")))))</f>
        <v>4.4999999999999998E-2</v>
      </c>
      <c r="L209" s="40"/>
      <c r="M209" s="41" t="s">
        <v>200</v>
      </c>
      <c r="N209" s="41"/>
      <c r="O209" s="256"/>
      <c r="Q209" s="35"/>
      <c r="R209" s="50" t="str">
        <f>IF(AND(ISNUMBER(G205)*ISNUMBER(C204)),K209*G209*C204,"")</f>
        <v/>
      </c>
      <c r="S209" s="102" t="s">
        <v>172</v>
      </c>
      <c r="T209" s="36"/>
      <c r="U209" s="36"/>
      <c r="V209" s="36"/>
      <c r="W209" s="36"/>
      <c r="X209" s="36"/>
      <c r="Y209" s="36"/>
      <c r="Z209" s="36"/>
      <c r="AA209" s="36"/>
      <c r="AB209" s="108"/>
      <c r="AC209" s="36"/>
      <c r="AD209" s="36"/>
      <c r="AE209" s="36"/>
      <c r="AF209" s="36"/>
      <c r="AG209" s="36"/>
      <c r="AH209" s="36"/>
      <c r="AI209" s="36"/>
      <c r="AJ209" s="36"/>
      <c r="AK209" s="36"/>
      <c r="AL209" s="36"/>
      <c r="AM209" s="36"/>
      <c r="AN209" s="37"/>
      <c r="AO209" s="37"/>
      <c r="AP209" s="37"/>
      <c r="AQ209" s="37"/>
      <c r="AR209" s="37"/>
      <c r="AS209" s="37"/>
      <c r="AT209" s="37"/>
      <c r="AU209" s="37"/>
      <c r="AV209" s="37"/>
      <c r="AW209" s="37"/>
      <c r="AX209" s="37"/>
      <c r="AY209" s="37"/>
      <c r="AZ209" s="37"/>
      <c r="BA209" s="37"/>
      <c r="BB209" s="37"/>
      <c r="BC209" s="37"/>
      <c r="BD209" s="37"/>
      <c r="BE209" s="37"/>
    </row>
    <row r="210" spans="2:57" s="31" customFormat="1" ht="15.5" x14ac:dyDescent="0.3">
      <c r="B210" s="155" t="s">
        <v>542</v>
      </c>
      <c r="C210" s="395" t="s">
        <v>283</v>
      </c>
      <c r="D210" s="395"/>
      <c r="E210" s="169"/>
      <c r="G210" s="156"/>
      <c r="H210" s="84" t="s">
        <v>5</v>
      </c>
      <c r="J210" s="33" t="str">
        <f>IF(C210="Kuljetus","Ei oletusta","Oletus (" &amp; IF(C210="Tiekuljetus",Kalusto!$C$105,IF(C210="Raidekuljetus",Kalusto!$C$106,IF(C210="Laivarahti",Kalusto!$C$107,Kalusto!$C$108))) &amp; ")" )</f>
        <v>Oletus (Puoliperävaunuyhdistelmä, 40 t, 100 % kuorma, maantieajo)</v>
      </c>
      <c r="K210" s="96">
        <f>IF(ISNUMBER(L210),L210,IF(C210=Pudotusvalikot!$N$4,Kalusto!$G$105,IF(C210=Pudotusvalikot!$N$5,Kalusto!$G$106,IF(C210=Pudotusvalikot!$N$6,Kalusto!$G$107,IF(C210=Pudotusvalikot!$N$7,Kalusto!$G$108,"--")))))</f>
        <v>4.9950000000000001E-2</v>
      </c>
      <c r="L210" s="40"/>
      <c r="M210" s="41" t="s">
        <v>200</v>
      </c>
      <c r="N210" s="41"/>
      <c r="O210" s="256"/>
      <c r="Q210" s="35"/>
      <c r="R210" s="50" t="str">
        <f>IF(AND(ISNUMBER(G205)*ISNUMBER(C204)),K210*G210*C204,"")</f>
        <v/>
      </c>
      <c r="S210" s="102" t="s">
        <v>172</v>
      </c>
      <c r="T210" s="36"/>
      <c r="U210" s="36"/>
      <c r="V210" s="36"/>
      <c r="W210" s="36"/>
      <c r="X210" s="36"/>
      <c r="Y210" s="36"/>
      <c r="Z210" s="36"/>
      <c r="AA210" s="36"/>
      <c r="AB210" s="108"/>
      <c r="AC210" s="36"/>
      <c r="AD210" s="36"/>
      <c r="AE210" s="36"/>
      <c r="AF210" s="36"/>
      <c r="AG210" s="36"/>
      <c r="AH210" s="36"/>
      <c r="AI210" s="36"/>
      <c r="AJ210" s="36"/>
      <c r="AK210" s="36"/>
      <c r="AL210" s="36"/>
      <c r="AM210" s="36"/>
      <c r="AN210" s="37"/>
      <c r="AO210" s="37"/>
      <c r="AP210" s="37"/>
      <c r="AQ210" s="37"/>
      <c r="AR210" s="37"/>
      <c r="AS210" s="37"/>
      <c r="AT210" s="37"/>
      <c r="AU210" s="37"/>
      <c r="AV210" s="37"/>
      <c r="AW210" s="37"/>
      <c r="AX210" s="37"/>
      <c r="AY210" s="37"/>
      <c r="AZ210" s="37"/>
      <c r="BA210" s="37"/>
      <c r="BB210" s="37"/>
      <c r="BC210" s="37"/>
      <c r="BD210" s="37"/>
      <c r="BE210" s="37"/>
    </row>
    <row r="211" spans="2:57" s="31" customFormat="1" ht="15.5" x14ac:dyDescent="0.3">
      <c r="B211" s="9" t="str">
        <f>B185</f>
        <v>Kemikaali-, tuote- tai materiaalilaji 2</v>
      </c>
      <c r="C211" s="34"/>
      <c r="D211" s="84"/>
      <c r="G211" s="72"/>
      <c r="H211" s="84"/>
      <c r="J211" s="33"/>
      <c r="K211" s="34"/>
      <c r="L211" s="34"/>
      <c r="M211" s="84"/>
      <c r="N211" s="84"/>
      <c r="O211" s="257"/>
      <c r="Q211" s="35"/>
      <c r="R211" s="36" t="s">
        <v>350</v>
      </c>
      <c r="S211" s="36"/>
      <c r="T211" s="36"/>
      <c r="U211" s="36"/>
      <c r="V211" s="36"/>
      <c r="W211" s="36"/>
      <c r="X211" s="36"/>
      <c r="Y211" s="36"/>
      <c r="Z211" s="36"/>
      <c r="AA211" s="36"/>
      <c r="AB211" s="108"/>
      <c r="AC211" s="36"/>
      <c r="AD211" s="36"/>
      <c r="AE211" s="36"/>
      <c r="AF211" s="36"/>
      <c r="AG211" s="36"/>
      <c r="AH211" s="36"/>
      <c r="AI211" s="36"/>
      <c r="AJ211" s="36"/>
      <c r="AK211" s="36"/>
      <c r="AL211" s="36"/>
      <c r="AM211" s="36"/>
      <c r="AN211" s="37"/>
      <c r="AO211" s="37"/>
      <c r="AP211" s="37"/>
      <c r="AQ211" s="37"/>
      <c r="AR211" s="37"/>
      <c r="AS211" s="37"/>
      <c r="AT211" s="37"/>
      <c r="AU211" s="37"/>
      <c r="AV211" s="37"/>
      <c r="AW211" s="37"/>
      <c r="AX211" s="37"/>
      <c r="AY211" s="37"/>
      <c r="AZ211" s="37"/>
      <c r="BA211" s="37"/>
      <c r="BB211" s="37"/>
      <c r="BC211" s="37"/>
      <c r="BD211" s="37"/>
      <c r="BE211" s="37"/>
    </row>
    <row r="212" spans="2:57" s="31" customFormat="1" ht="15.5" x14ac:dyDescent="0.3">
      <c r="B212" s="54" t="s">
        <v>375</v>
      </c>
      <c r="C212" s="160"/>
      <c r="D212" s="84" t="s">
        <v>281</v>
      </c>
      <c r="G212" s="34"/>
      <c r="H212" s="84"/>
      <c r="J212" s="33"/>
      <c r="K212" s="38" t="s">
        <v>329</v>
      </c>
      <c r="L212" s="38" t="s">
        <v>201</v>
      </c>
      <c r="M212" s="84"/>
      <c r="N212" s="84"/>
      <c r="O212" s="257"/>
      <c r="Q212" s="35"/>
      <c r="R212" s="50" t="str">
        <f>IF(AND(ISNUMBER(G213),ISNUMBER(C212)),SUM(R213,R216:R218),"")</f>
        <v/>
      </c>
      <c r="S212" s="102" t="s">
        <v>172</v>
      </c>
      <c r="T212" s="36"/>
      <c r="U212" s="36"/>
      <c r="V212" s="36"/>
      <c r="W212" s="36"/>
      <c r="X212" s="36"/>
      <c r="Y212" s="36"/>
      <c r="Z212" s="36"/>
      <c r="AA212" s="36"/>
      <c r="AB212" s="108"/>
      <c r="AC212" s="36"/>
      <c r="AD212" s="36"/>
      <c r="AE212" s="36"/>
      <c r="AF212" s="36"/>
      <c r="AG212" s="36"/>
      <c r="AH212" s="36"/>
      <c r="AI212" s="36"/>
      <c r="AJ212" s="36"/>
      <c r="AK212" s="36"/>
      <c r="AL212" s="36"/>
      <c r="AM212" s="36"/>
      <c r="AN212" s="37"/>
      <c r="AO212" s="37"/>
      <c r="AP212" s="37"/>
      <c r="AQ212" s="37"/>
      <c r="AR212" s="37"/>
      <c r="AS212" s="37"/>
      <c r="AT212" s="37"/>
      <c r="AU212" s="37"/>
      <c r="AV212" s="37"/>
      <c r="AW212" s="37"/>
      <c r="AX212" s="37"/>
      <c r="AY212" s="37"/>
      <c r="AZ212" s="37"/>
      <c r="BA212" s="37"/>
      <c r="BB212" s="37"/>
      <c r="BC212" s="37"/>
      <c r="BD212" s="37"/>
      <c r="BE212" s="37"/>
    </row>
    <row r="213" spans="2:57" s="31" customFormat="1" ht="46.5" x14ac:dyDescent="0.3">
      <c r="B213" s="155" t="s">
        <v>727</v>
      </c>
      <c r="C213" s="396" t="s">
        <v>283</v>
      </c>
      <c r="D213" s="397"/>
      <c r="G213" s="156"/>
      <c r="H213" s="84" t="s">
        <v>5</v>
      </c>
      <c r="J213" s="173" t="s">
        <v>441</v>
      </c>
      <c r="K213" s="96">
        <f>IF(ISNUMBER(L213),L213,IF(C213=Pudotusvalikot!$N$4,Kalusto!$G$105,IF(C213=Pudotusvalikot!$N$5,Kalusto!$G$106,IF(C213=Pudotusvalikot!$N$6,Kalusto!$G$107,IF(C213=Pudotusvalikot!$N$7,Kalusto!$G$108,Kalusto!$G$105))))*IF(OR(C215=Pudotusvalikot!$V$3,C215=Pudotusvalikot!$V$4),Muut!$E$38,IF(C215=Pudotusvalikot!$V$5,Muut!$E$39,IF(C215=Pudotusvalikot!$V$6,Muut!$E$40,Muut!$E$41))))</f>
        <v>4.9950000000000001E-2</v>
      </c>
      <c r="L213" s="40"/>
      <c r="M213" s="41" t="s">
        <v>200</v>
      </c>
      <c r="N213" s="41"/>
      <c r="O213" s="256"/>
      <c r="Q213" s="35"/>
      <c r="R213" s="50" t="str">
        <f>IF(ISNUMBER(Y214*X214*K213),Y214*X214*K213,"")</f>
        <v/>
      </c>
      <c r="S213" s="102" t="s">
        <v>172</v>
      </c>
      <c r="T213" s="36" t="s">
        <v>446</v>
      </c>
      <c r="U213" s="36" t="s">
        <v>384</v>
      </c>
      <c r="V213" s="36" t="s">
        <v>443</v>
      </c>
      <c r="W213" s="36" t="s">
        <v>444</v>
      </c>
      <c r="X213" s="36" t="s">
        <v>447</v>
      </c>
      <c r="Y213" s="36" t="s">
        <v>449</v>
      </c>
      <c r="Z213" s="36" t="s">
        <v>374</v>
      </c>
      <c r="AA213" s="36"/>
      <c r="AB213" s="108"/>
      <c r="AC213" s="36"/>
      <c r="AD213" s="36"/>
      <c r="AE213" s="36"/>
      <c r="AF213" s="36"/>
      <c r="AG213" s="36"/>
      <c r="AH213" s="36"/>
      <c r="AI213" s="36"/>
      <c r="AJ213" s="36"/>
      <c r="AK213" s="36"/>
      <c r="AL213" s="36"/>
      <c r="AM213" s="36"/>
      <c r="AN213" s="37"/>
      <c r="AO213" s="37"/>
      <c r="AP213" s="37"/>
      <c r="AQ213" s="37"/>
      <c r="AR213" s="37"/>
      <c r="AS213" s="37"/>
      <c r="AT213" s="37"/>
      <c r="AU213" s="37"/>
      <c r="AV213" s="37"/>
      <c r="AW213" s="37"/>
      <c r="AX213" s="37"/>
      <c r="AY213" s="37"/>
      <c r="AZ213" s="37"/>
      <c r="BA213" s="37"/>
      <c r="BB213" s="37"/>
      <c r="BC213" s="37"/>
      <c r="BD213" s="37"/>
      <c r="BE213" s="37"/>
    </row>
    <row r="214" spans="2:57" s="31" customFormat="1" ht="15.5" x14ac:dyDescent="0.3">
      <c r="B214" s="78" t="s">
        <v>377</v>
      </c>
      <c r="C214" s="392" t="s">
        <v>93</v>
      </c>
      <c r="D214" s="393"/>
      <c r="E214" s="393"/>
      <c r="F214" s="393"/>
      <c r="G214" s="394"/>
      <c r="J214" s="33"/>
      <c r="K214" s="38" t="s">
        <v>329</v>
      </c>
      <c r="L214" s="38" t="s">
        <v>201</v>
      </c>
      <c r="M214" s="41"/>
      <c r="N214" s="41"/>
      <c r="O214" s="256"/>
      <c r="Q214" s="47"/>
      <c r="R214" s="108"/>
      <c r="S214" s="36"/>
      <c r="T214" s="48" t="str">
        <f>IF(ISNUMBER(L213),"Kohdetieto",IF(OR(C214=Pudotusvalikot!$D$14,C214=Pudotusvalikot!$D$15),Kalusto!$I$96,VLOOKUP(C214,Kalusto!$C$44:$L$83,7,FALSE)))</f>
        <v>Puoliperävaunu</v>
      </c>
      <c r="U214" s="48">
        <f>IF(ISNUMBER(L213),"Kohdetieto",IF(OR(C214=Pudotusvalikot!$D$14,C214=Pudotusvalikot!$D$15),Kalusto!$J$96,VLOOKUP(C214,Kalusto!$C$44:$L$83,8,FALSE)))</f>
        <v>40</v>
      </c>
      <c r="V214" s="49">
        <f>IF(ISNUMBER(L213),"Kohdetieto",IF(OR(C214=Pudotusvalikot!$D$14,C214=Pudotusvalikot!$D$15),Kalusto!$K$96,VLOOKUP(C214,Kalusto!$C$44:$L$83,9,FALSE)))</f>
        <v>0.8</v>
      </c>
      <c r="W214" s="49" t="str">
        <f>IF(ISNUMBER(L213),"Kohdetieto",IF(OR(C214=Pudotusvalikot!$D$14,C214=Pudotusvalikot!$D$15),Kalusto!$L$96,VLOOKUP(C214,Kalusto!$C$44:$L$83,10,FALSE)))</f>
        <v>maantieajo</v>
      </c>
      <c r="X214" s="50" t="str">
        <f>IF(ISBLANK(C212),"",C212/1000)</f>
        <v/>
      </c>
      <c r="Y214" s="48" t="str">
        <f>IF(ISNUMBER(G213),G213,"")</f>
        <v/>
      </c>
      <c r="Z214" s="51">
        <f>IF(ISNUMBER(L213),L213,K213)</f>
        <v>4.9950000000000001E-2</v>
      </c>
      <c r="AA214" s="36"/>
      <c r="AB214" s="108"/>
      <c r="AC214" s="36"/>
      <c r="AD214" s="36"/>
      <c r="AE214" s="36"/>
      <c r="AF214" s="36"/>
      <c r="AG214" s="36"/>
      <c r="AH214" s="36"/>
      <c r="AI214" s="36"/>
      <c r="AJ214" s="36"/>
      <c r="AK214" s="36"/>
      <c r="AL214" s="36"/>
      <c r="AM214" s="36"/>
      <c r="AN214" s="37"/>
      <c r="AO214" s="37"/>
      <c r="AP214" s="37"/>
      <c r="AQ214" s="37"/>
      <c r="AR214" s="37"/>
      <c r="AS214" s="37"/>
      <c r="AT214" s="37"/>
      <c r="AU214" s="37"/>
      <c r="AV214" s="37"/>
      <c r="AW214" s="37"/>
      <c r="AX214" s="37"/>
      <c r="AY214" s="37"/>
      <c r="AZ214" s="37"/>
      <c r="BA214" s="37"/>
      <c r="BB214" s="37"/>
      <c r="BC214" s="37"/>
      <c r="BD214" s="37"/>
      <c r="BE214" s="37"/>
    </row>
    <row r="215" spans="2:57" s="31" customFormat="1" ht="15.5" x14ac:dyDescent="0.3">
      <c r="B215" s="78" t="s">
        <v>506</v>
      </c>
      <c r="C215" s="160" t="s">
        <v>242</v>
      </c>
      <c r="D215" s="34"/>
      <c r="E215" s="34"/>
      <c r="F215" s="34"/>
      <c r="G215" s="34"/>
      <c r="H215" s="59"/>
      <c r="J215" s="173"/>
      <c r="K215" s="173"/>
      <c r="L215" s="173"/>
      <c r="M215" s="41"/>
      <c r="N215" s="41"/>
      <c r="O215" s="256"/>
      <c r="Q215" s="47"/>
      <c r="R215" s="36"/>
      <c r="S215" s="36"/>
      <c r="T215" s="36"/>
      <c r="U215" s="36"/>
      <c r="V215" s="181"/>
      <c r="W215" s="181"/>
      <c r="X215" s="61"/>
      <c r="Y215" s="36"/>
      <c r="Z215" s="61"/>
      <c r="AA215" s="182"/>
      <c r="AB215" s="61"/>
      <c r="AC215" s="61"/>
      <c r="AD215" s="61"/>
      <c r="AE215" s="61"/>
      <c r="AF215" s="182"/>
      <c r="AG215" s="61"/>
      <c r="AH215" s="36"/>
      <c r="AI215" s="36"/>
      <c r="AJ215" s="36"/>
      <c r="AK215" s="108"/>
      <c r="AL215" s="36"/>
      <c r="AM215" s="36"/>
      <c r="AN215" s="37"/>
      <c r="AO215" s="37"/>
      <c r="AP215" s="37"/>
      <c r="AQ215" s="37"/>
      <c r="AR215" s="37"/>
      <c r="AS215" s="37"/>
      <c r="AT215" s="37"/>
      <c r="AU215" s="37"/>
      <c r="AV215" s="37"/>
      <c r="AW215" s="37"/>
      <c r="AX215" s="37"/>
      <c r="AY215" s="37"/>
      <c r="AZ215" s="37"/>
      <c r="BA215" s="37"/>
      <c r="BB215" s="37"/>
      <c r="BC215" s="37"/>
      <c r="BD215" s="37"/>
      <c r="BE215" s="37"/>
    </row>
    <row r="216" spans="2:57" s="31" customFormat="1" ht="15.5" x14ac:dyDescent="0.3">
      <c r="B216" s="155" t="s">
        <v>542</v>
      </c>
      <c r="C216" s="395" t="s">
        <v>283</v>
      </c>
      <c r="D216" s="395"/>
      <c r="G216" s="156"/>
      <c r="H216" s="84" t="s">
        <v>5</v>
      </c>
      <c r="J216" s="33" t="str">
        <f>IF(C216="Kuljetus","Ei oletusta","Oletus (" &amp; IF(C216="Tiekuljetus",Kalusto!$C$105,IF(C216="Raidekuljetus",Kalusto!$C$106,IF(C216="Laivarahti",Kalusto!$C$107,Kalusto!$C$108))) &amp; ")" )</f>
        <v>Oletus (Puoliperävaunuyhdistelmä, 40 t, 100 % kuorma, maantieajo)</v>
      </c>
      <c r="K216" s="96">
        <f>IF(ISNUMBER(L216),L216,IF(C216=Pudotusvalikot!$N$4,Kalusto!$G$105,IF(C216=Pudotusvalikot!$N$5,Kalusto!$G$106,IF(C216=Pudotusvalikot!$N$6,Kalusto!$G$107,IF(C216=Pudotusvalikot!$N$7,Kalusto!$G$108,Kalusto!$G$105)))))</f>
        <v>4.9950000000000001E-2</v>
      </c>
      <c r="L216" s="40"/>
      <c r="M216" s="41" t="s">
        <v>200</v>
      </c>
      <c r="N216" s="41"/>
      <c r="O216" s="256"/>
      <c r="Q216" s="35"/>
      <c r="R216" s="50" t="str">
        <f>IF(AND(ISNUMBER(G213)*ISNUMBER(C212)),K216*G216*C212,"")</f>
        <v/>
      </c>
      <c r="S216" s="102" t="s">
        <v>172</v>
      </c>
      <c r="T216" s="36"/>
      <c r="U216" s="36"/>
      <c r="V216" s="36"/>
      <c r="W216" s="36"/>
      <c r="X216" s="36"/>
      <c r="Y216" s="36"/>
      <c r="Z216" s="36"/>
      <c r="AA216" s="36"/>
      <c r="AB216" s="108"/>
      <c r="AC216" s="36"/>
      <c r="AD216" s="36"/>
      <c r="AE216" s="36"/>
      <c r="AF216" s="36"/>
      <c r="AG216" s="36"/>
      <c r="AH216" s="36"/>
      <c r="AI216" s="36"/>
      <c r="AJ216" s="36"/>
      <c r="AK216" s="36"/>
      <c r="AL216" s="36"/>
      <c r="AM216" s="36"/>
      <c r="AN216" s="37"/>
      <c r="AO216" s="37"/>
      <c r="AP216" s="37"/>
      <c r="AQ216" s="37"/>
      <c r="AR216" s="37"/>
      <c r="AS216" s="37"/>
      <c r="AT216" s="37"/>
      <c r="AU216" s="37"/>
      <c r="AV216" s="37"/>
      <c r="AW216" s="37"/>
      <c r="AX216" s="37"/>
      <c r="AY216" s="37"/>
      <c r="AZ216" s="37"/>
      <c r="BA216" s="37"/>
      <c r="BB216" s="37"/>
      <c r="BC216" s="37"/>
      <c r="BD216" s="37"/>
      <c r="BE216" s="37"/>
    </row>
    <row r="217" spans="2:57" s="31" customFormat="1" ht="15.5" x14ac:dyDescent="0.3">
      <c r="B217" s="155" t="s">
        <v>542</v>
      </c>
      <c r="C217" s="395" t="s">
        <v>284</v>
      </c>
      <c r="D217" s="395"/>
      <c r="G217" s="156"/>
      <c r="H217" s="84" t="s">
        <v>5</v>
      </c>
      <c r="J217" s="33" t="str">
        <f>IF(C217="Kuljetus","Ei oletusta","Oletus (" &amp; IF(C217="Tiekuljetus",Kalusto!$C$105,IF(C217="Raidekuljetus",Kalusto!$C$106,IF(C217="Laivarahti",Kalusto!$C$107,Kalusto!$C$108))) &amp; ")" )</f>
        <v>Oletus (Merikuljetus, konttilaiva, 1000 TEU)</v>
      </c>
      <c r="K217" s="96">
        <f>IF(ISNUMBER(L217),L217,IF(C217=Pudotusvalikot!$N$4,Kalusto!$G$105,IF(C217=Pudotusvalikot!$N$5,Kalusto!$G$106,IF(C217=Pudotusvalikot!$N$6,Kalusto!$G$107,IF(C217=Pudotusvalikot!$N$7,Kalusto!$G$108,"--")))))</f>
        <v>4.4999999999999998E-2</v>
      </c>
      <c r="L217" s="40"/>
      <c r="M217" s="41" t="s">
        <v>200</v>
      </c>
      <c r="N217" s="41"/>
      <c r="O217" s="256"/>
      <c r="Q217" s="35"/>
      <c r="R217" s="50" t="str">
        <f>IF(AND(ISNUMBER(G213)*ISNUMBER(C212)),K217*G217*C212,"")</f>
        <v/>
      </c>
      <c r="S217" s="102" t="s">
        <v>172</v>
      </c>
      <c r="T217" s="36"/>
      <c r="U217" s="36"/>
      <c r="V217" s="36"/>
      <c r="W217" s="36"/>
      <c r="X217" s="36"/>
      <c r="Y217" s="36"/>
      <c r="Z217" s="36"/>
      <c r="AA217" s="36"/>
      <c r="AB217" s="108"/>
      <c r="AC217" s="36"/>
      <c r="AD217" s="36"/>
      <c r="AE217" s="36"/>
      <c r="AF217" s="36"/>
      <c r="AG217" s="36"/>
      <c r="AH217" s="36"/>
      <c r="AI217" s="36"/>
      <c r="AJ217" s="36"/>
      <c r="AK217" s="36"/>
      <c r="AL217" s="36"/>
      <c r="AM217" s="36"/>
      <c r="AN217" s="37"/>
      <c r="AO217" s="37"/>
      <c r="AP217" s="37"/>
      <c r="AQ217" s="37"/>
      <c r="AR217" s="37"/>
      <c r="AS217" s="37"/>
      <c r="AT217" s="37"/>
      <c r="AU217" s="37"/>
      <c r="AV217" s="37"/>
      <c r="AW217" s="37"/>
      <c r="AX217" s="37"/>
      <c r="AY217" s="37"/>
      <c r="AZ217" s="37"/>
      <c r="BA217" s="37"/>
      <c r="BB217" s="37"/>
      <c r="BC217" s="37"/>
      <c r="BD217" s="37"/>
      <c r="BE217" s="37"/>
    </row>
    <row r="218" spans="2:57" s="31" customFormat="1" ht="15.5" x14ac:dyDescent="0.3">
      <c r="B218" s="155" t="s">
        <v>542</v>
      </c>
      <c r="C218" s="395" t="s">
        <v>283</v>
      </c>
      <c r="D218" s="395"/>
      <c r="G218" s="156"/>
      <c r="H218" s="84" t="s">
        <v>5</v>
      </c>
      <c r="J218" s="33" t="str">
        <f>IF(C218="Kuljetus","Ei oletusta","Oletus (" &amp; IF(C218="Tiekuljetus",Kalusto!$C$105,IF(C218="Raidekuljetus",Kalusto!$C$106,IF(C218="Laivarahti",Kalusto!$C$107,Kalusto!$C$108))) &amp; ")" )</f>
        <v>Oletus (Puoliperävaunuyhdistelmä, 40 t, 100 % kuorma, maantieajo)</v>
      </c>
      <c r="K218" s="96">
        <f>IF(ISNUMBER(L218),L218,IF(C218=Pudotusvalikot!$N$4,Kalusto!$G$105,IF(C218=Pudotusvalikot!$N$5,Kalusto!$G$106,IF(C218=Pudotusvalikot!$N$6,Kalusto!$G$107,IF(C218=Pudotusvalikot!$N$7,Kalusto!$G$108,"--")))))</f>
        <v>4.9950000000000001E-2</v>
      </c>
      <c r="L218" s="40"/>
      <c r="M218" s="41" t="s">
        <v>200</v>
      </c>
      <c r="N218" s="41"/>
      <c r="O218" s="256"/>
      <c r="Q218" s="35"/>
      <c r="R218" s="50" t="str">
        <f>IF(AND(ISNUMBER(G213)*ISNUMBER(C212)),K218*G218*C212,"")</f>
        <v/>
      </c>
      <c r="S218" s="102" t="s">
        <v>172</v>
      </c>
      <c r="T218" s="36"/>
      <c r="U218" s="36"/>
      <c r="V218" s="36"/>
      <c r="W218" s="36"/>
      <c r="X218" s="36"/>
      <c r="Y218" s="36"/>
      <c r="Z218" s="36"/>
      <c r="AA218" s="36"/>
      <c r="AB218" s="108"/>
      <c r="AC218" s="36"/>
      <c r="AD218" s="36"/>
      <c r="AE218" s="36"/>
      <c r="AF218" s="36"/>
      <c r="AG218" s="36"/>
      <c r="AH218" s="36"/>
      <c r="AI218" s="36"/>
      <c r="AJ218" s="36"/>
      <c r="AK218" s="36"/>
      <c r="AL218" s="36"/>
      <c r="AM218" s="36"/>
      <c r="AN218" s="37"/>
      <c r="AO218" s="37"/>
      <c r="AP218" s="37"/>
      <c r="AQ218" s="37"/>
      <c r="AR218" s="37"/>
      <c r="AS218" s="37"/>
      <c r="AT218" s="37"/>
      <c r="AU218" s="37"/>
      <c r="AV218" s="37"/>
      <c r="AW218" s="37"/>
      <c r="AX218" s="37"/>
      <c r="AY218" s="37"/>
      <c r="AZ218" s="37"/>
      <c r="BA218" s="37"/>
      <c r="BB218" s="37"/>
      <c r="BC218" s="37"/>
      <c r="BD218" s="37"/>
      <c r="BE218" s="37"/>
    </row>
    <row r="219" spans="2:57" s="31" customFormat="1" ht="15.5" x14ac:dyDescent="0.3">
      <c r="B219" s="9" t="str">
        <f>B188</f>
        <v>Kemikaali-, tuote- tai materiaalilaji 3</v>
      </c>
      <c r="C219" s="34"/>
      <c r="D219" s="84"/>
      <c r="G219" s="72"/>
      <c r="H219" s="84"/>
      <c r="J219" s="33"/>
      <c r="K219" s="34"/>
      <c r="L219" s="34"/>
      <c r="M219" s="84"/>
      <c r="N219" s="84"/>
      <c r="O219" s="257"/>
      <c r="Q219" s="35"/>
      <c r="R219" s="36" t="s">
        <v>350</v>
      </c>
      <c r="S219" s="36"/>
      <c r="T219" s="36"/>
      <c r="U219" s="36"/>
      <c r="V219" s="36"/>
      <c r="W219" s="36"/>
      <c r="X219" s="36"/>
      <c r="Y219" s="36"/>
      <c r="Z219" s="36"/>
      <c r="AA219" s="36"/>
      <c r="AB219" s="108"/>
      <c r="AC219" s="36"/>
      <c r="AD219" s="36"/>
      <c r="AE219" s="36"/>
      <c r="AF219" s="36"/>
      <c r="AG219" s="36"/>
      <c r="AH219" s="36"/>
      <c r="AI219" s="36"/>
      <c r="AJ219" s="36"/>
      <c r="AK219" s="36"/>
      <c r="AL219" s="36"/>
      <c r="AM219" s="36"/>
      <c r="AN219" s="37"/>
      <c r="AO219" s="37"/>
      <c r="AP219" s="37"/>
      <c r="AQ219" s="37"/>
      <c r="AR219" s="37"/>
      <c r="AS219" s="37"/>
      <c r="AT219" s="37"/>
      <c r="AU219" s="37"/>
      <c r="AV219" s="37"/>
      <c r="AW219" s="37"/>
      <c r="AX219" s="37"/>
      <c r="AY219" s="37"/>
      <c r="AZ219" s="37"/>
      <c r="BA219" s="37"/>
      <c r="BB219" s="37"/>
      <c r="BC219" s="37"/>
      <c r="BD219" s="37"/>
      <c r="BE219" s="37"/>
    </row>
    <row r="220" spans="2:57" s="31" customFormat="1" ht="15.5" x14ac:dyDescent="0.3">
      <c r="B220" s="54" t="s">
        <v>375</v>
      </c>
      <c r="C220" s="160"/>
      <c r="D220" s="84" t="s">
        <v>281</v>
      </c>
      <c r="G220" s="34"/>
      <c r="H220" s="84"/>
      <c r="J220" s="33"/>
      <c r="K220" s="38" t="s">
        <v>329</v>
      </c>
      <c r="L220" s="38" t="s">
        <v>201</v>
      </c>
      <c r="M220" s="84"/>
      <c r="N220" s="84"/>
      <c r="O220" s="257"/>
      <c r="Q220" s="35"/>
      <c r="R220" s="50" t="str">
        <f>IF(AND(ISNUMBER(G221),ISNUMBER(C220)),SUM(R221,R224:R226),"")</f>
        <v/>
      </c>
      <c r="S220" s="102" t="s">
        <v>172</v>
      </c>
      <c r="T220" s="36"/>
      <c r="U220" s="36"/>
      <c r="V220" s="36"/>
      <c r="W220" s="36"/>
      <c r="X220" s="36"/>
      <c r="Y220" s="36"/>
      <c r="Z220" s="36"/>
      <c r="AA220" s="36"/>
      <c r="AB220" s="108"/>
      <c r="AC220" s="36"/>
      <c r="AD220" s="36"/>
      <c r="AE220" s="36"/>
      <c r="AF220" s="36"/>
      <c r="AG220" s="36"/>
      <c r="AH220" s="36"/>
      <c r="AI220" s="36"/>
      <c r="AJ220" s="36"/>
      <c r="AK220" s="36"/>
      <c r="AL220" s="36"/>
      <c r="AM220" s="36"/>
      <c r="AN220" s="37"/>
      <c r="AO220" s="37"/>
      <c r="AP220" s="37"/>
      <c r="AQ220" s="37"/>
      <c r="AR220" s="37"/>
      <c r="AS220" s="37"/>
      <c r="AT220" s="37"/>
      <c r="AU220" s="37"/>
      <c r="AV220" s="37"/>
      <c r="AW220" s="37"/>
      <c r="AX220" s="37"/>
      <c r="AY220" s="37"/>
      <c r="AZ220" s="37"/>
      <c r="BA220" s="37"/>
      <c r="BB220" s="37"/>
      <c r="BC220" s="37"/>
      <c r="BD220" s="37"/>
      <c r="BE220" s="37"/>
    </row>
    <row r="221" spans="2:57" s="31" customFormat="1" ht="46.5" x14ac:dyDescent="0.3">
      <c r="B221" s="155" t="s">
        <v>728</v>
      </c>
      <c r="C221" s="396" t="s">
        <v>283</v>
      </c>
      <c r="D221" s="397"/>
      <c r="G221" s="156"/>
      <c r="H221" s="84" t="s">
        <v>5</v>
      </c>
      <c r="J221" s="173" t="s">
        <v>441</v>
      </c>
      <c r="K221" s="96">
        <f>IF(ISNUMBER(L221),L221,IF(C221=Pudotusvalikot!$N$4,Kalusto!$G$105,IF(C221=Pudotusvalikot!$N$5,Kalusto!$G$106,IF(C221=Pudotusvalikot!$N$6,Kalusto!$G$107,IF(C221=Pudotusvalikot!$N$7,Kalusto!$G$108,Kalusto!$G$105))))*IF(OR(C223=Pudotusvalikot!$V$3,C223=Pudotusvalikot!$V$4),Muut!$E$38,IF(C223=Pudotusvalikot!$V$5,Muut!$E$39,IF(C223=Pudotusvalikot!$V$6,Muut!$E$40,Muut!$E$41))))</f>
        <v>4.9950000000000001E-2</v>
      </c>
      <c r="L221" s="40"/>
      <c r="M221" s="41" t="s">
        <v>200</v>
      </c>
      <c r="N221" s="41"/>
      <c r="O221" s="256"/>
      <c r="Q221" s="35"/>
      <c r="R221" s="50" t="str">
        <f>IF(ISNUMBER(Y222*X222*K221),Y222*X222*K221,"")</f>
        <v/>
      </c>
      <c r="S221" s="102" t="s">
        <v>172</v>
      </c>
      <c r="T221" s="36" t="s">
        <v>446</v>
      </c>
      <c r="U221" s="36" t="s">
        <v>384</v>
      </c>
      <c r="V221" s="36" t="s">
        <v>443</v>
      </c>
      <c r="W221" s="36" t="s">
        <v>444</v>
      </c>
      <c r="X221" s="36" t="s">
        <v>447</v>
      </c>
      <c r="Y221" s="36" t="s">
        <v>449</v>
      </c>
      <c r="Z221" s="36" t="s">
        <v>374</v>
      </c>
      <c r="AA221" s="36"/>
      <c r="AB221" s="108"/>
      <c r="AC221" s="36"/>
      <c r="AD221" s="36"/>
      <c r="AE221" s="36"/>
      <c r="AF221" s="36"/>
      <c r="AG221" s="36"/>
      <c r="AH221" s="36"/>
      <c r="AI221" s="36"/>
      <c r="AJ221" s="36"/>
      <c r="AK221" s="36"/>
      <c r="AL221" s="36"/>
      <c r="AM221" s="36"/>
      <c r="AN221" s="37"/>
      <c r="AO221" s="37"/>
      <c r="AP221" s="37"/>
      <c r="AQ221" s="37"/>
      <c r="AR221" s="37"/>
      <c r="AS221" s="37"/>
      <c r="AT221" s="37"/>
      <c r="AU221" s="37"/>
      <c r="AV221" s="37"/>
      <c r="AW221" s="37"/>
      <c r="AX221" s="37"/>
      <c r="AY221" s="37"/>
      <c r="AZ221" s="37"/>
      <c r="BA221" s="37"/>
      <c r="BB221" s="37"/>
      <c r="BC221" s="37"/>
      <c r="BD221" s="37"/>
      <c r="BE221" s="37"/>
    </row>
    <row r="222" spans="2:57" s="31" customFormat="1" ht="15.5" x14ac:dyDescent="0.3">
      <c r="B222" s="78" t="s">
        <v>377</v>
      </c>
      <c r="C222" s="392" t="s">
        <v>93</v>
      </c>
      <c r="D222" s="393"/>
      <c r="E222" s="393"/>
      <c r="F222" s="393"/>
      <c r="G222" s="394"/>
      <c r="H222" s="46" t="s">
        <v>203</v>
      </c>
      <c r="J222" s="33"/>
      <c r="K222" s="38" t="s">
        <v>329</v>
      </c>
      <c r="L222" s="38" t="s">
        <v>201</v>
      </c>
      <c r="M222" s="41"/>
      <c r="N222" s="41"/>
      <c r="O222" s="256"/>
      <c r="Q222" s="47"/>
      <c r="R222" s="108"/>
      <c r="S222" s="36"/>
      <c r="T222" s="48" t="str">
        <f>IF(ISNUMBER(L221),"Kohdetieto",IF(OR(C222=Pudotusvalikot!$D$14,C222=Pudotusvalikot!$D$15),Kalusto!$I$96,VLOOKUP(C222,Kalusto!$C$44:$L$83,7,FALSE)))</f>
        <v>Puoliperävaunu</v>
      </c>
      <c r="U222" s="48">
        <f>IF(ISNUMBER(L221),"Kohdetieto",IF(OR(C222=Pudotusvalikot!$D$14,C222=Pudotusvalikot!$D$15),Kalusto!$J$96,VLOOKUP(C222,Kalusto!$C$44:$L$83,8,FALSE)))</f>
        <v>40</v>
      </c>
      <c r="V222" s="49">
        <f>IF(ISNUMBER(L221),"Kohdetieto",IF(OR(C222=Pudotusvalikot!$D$14,C222=Pudotusvalikot!$D$15),Kalusto!$K$96,VLOOKUP(C222,Kalusto!$C$44:$L$83,9,FALSE)))</f>
        <v>0.8</v>
      </c>
      <c r="W222" s="49" t="str">
        <f>IF(ISNUMBER(L221),"Kohdetieto",IF(OR(C222=Pudotusvalikot!$D$14,C222=Pudotusvalikot!$D$15),Kalusto!$L$96,VLOOKUP(C222,Kalusto!$C$44:$L$83,10,FALSE)))</f>
        <v>maantieajo</v>
      </c>
      <c r="X222" s="50" t="str">
        <f>IF(ISBLANK(C220),"",C220/1000)</f>
        <v/>
      </c>
      <c r="Y222" s="48" t="str">
        <f>IF(ISNUMBER(G221),G221,"")</f>
        <v/>
      </c>
      <c r="Z222" s="51">
        <f>IF(ISNUMBER(L221),L221,K221)</f>
        <v>4.9950000000000001E-2</v>
      </c>
      <c r="AA222" s="36"/>
      <c r="AB222" s="108"/>
      <c r="AC222" s="36"/>
      <c r="AD222" s="36"/>
      <c r="AE222" s="36"/>
      <c r="AF222" s="36"/>
      <c r="AG222" s="36"/>
      <c r="AH222" s="36"/>
      <c r="AI222" s="36"/>
      <c r="AJ222" s="36"/>
      <c r="AK222" s="36"/>
      <c r="AL222" s="36"/>
      <c r="AM222" s="36"/>
      <c r="AN222" s="37"/>
      <c r="AO222" s="37"/>
      <c r="AP222" s="37"/>
      <c r="AQ222" s="37"/>
      <c r="AR222" s="37"/>
      <c r="AS222" s="37"/>
      <c r="AT222" s="37"/>
      <c r="AU222" s="37"/>
      <c r="AV222" s="37"/>
      <c r="AW222" s="37"/>
      <c r="AX222" s="37"/>
      <c r="AY222" s="37"/>
      <c r="AZ222" s="37"/>
      <c r="BA222" s="37"/>
      <c r="BB222" s="37"/>
      <c r="BC222" s="37"/>
      <c r="BD222" s="37"/>
      <c r="BE222" s="37"/>
    </row>
    <row r="223" spans="2:57" s="31" customFormat="1" ht="15.5" x14ac:dyDescent="0.3">
      <c r="B223" s="78" t="s">
        <v>506</v>
      </c>
      <c r="C223" s="160" t="s">
        <v>242</v>
      </c>
      <c r="D223" s="34"/>
      <c r="E223" s="34"/>
      <c r="F223" s="34"/>
      <c r="G223" s="34"/>
      <c r="H223" s="59"/>
      <c r="J223" s="173"/>
      <c r="K223" s="173"/>
      <c r="L223" s="173"/>
      <c r="M223" s="41"/>
      <c r="N223" s="41"/>
      <c r="O223" s="256"/>
      <c r="Q223" s="47"/>
      <c r="R223" s="36"/>
      <c r="S223" s="36"/>
      <c r="T223" s="36"/>
      <c r="U223" s="36"/>
      <c r="V223" s="181"/>
      <c r="W223" s="181"/>
      <c r="X223" s="61"/>
      <c r="Y223" s="36"/>
      <c r="Z223" s="61"/>
      <c r="AA223" s="182"/>
      <c r="AB223" s="61"/>
      <c r="AC223" s="61"/>
      <c r="AD223" s="61"/>
      <c r="AE223" s="61"/>
      <c r="AF223" s="182"/>
      <c r="AG223" s="61"/>
      <c r="AH223" s="36"/>
      <c r="AI223" s="36"/>
      <c r="AJ223" s="36"/>
      <c r="AK223" s="108"/>
      <c r="AL223" s="36"/>
      <c r="AM223" s="36"/>
      <c r="AN223" s="37"/>
      <c r="AO223" s="37"/>
      <c r="AP223" s="37"/>
      <c r="AQ223" s="37"/>
      <c r="AR223" s="37"/>
      <c r="AS223" s="37"/>
      <c r="AT223" s="37"/>
      <c r="AU223" s="37"/>
      <c r="AV223" s="37"/>
      <c r="AW223" s="37"/>
      <c r="AX223" s="37"/>
      <c r="AY223" s="37"/>
      <c r="AZ223" s="37"/>
      <c r="BA223" s="37"/>
      <c r="BB223" s="37"/>
      <c r="BC223" s="37"/>
      <c r="BD223" s="37"/>
      <c r="BE223" s="37"/>
    </row>
    <row r="224" spans="2:57" s="31" customFormat="1" ht="15.5" x14ac:dyDescent="0.3">
      <c r="B224" s="155" t="s">
        <v>542</v>
      </c>
      <c r="C224" s="395" t="s">
        <v>283</v>
      </c>
      <c r="D224" s="395"/>
      <c r="G224" s="156"/>
      <c r="H224" s="84" t="s">
        <v>5</v>
      </c>
      <c r="J224" s="33" t="str">
        <f>IF(C224="Kuljetus","Ei oletusta","Oletus (" &amp; IF(C224="Tiekuljetus",Kalusto!$C$105,IF(C224="Raidekuljetus",Kalusto!$C$106,IF(C224="Laivarahti",Kalusto!$C$107,Kalusto!$C$108))) &amp; ")" )</f>
        <v>Oletus (Puoliperävaunuyhdistelmä, 40 t, 100 % kuorma, maantieajo)</v>
      </c>
      <c r="K224" s="96">
        <f>IF(ISNUMBER(L224),L224,IF(C224=Pudotusvalikot!$N$4,Kalusto!$G$105,IF(C224=Pudotusvalikot!$N$5,Kalusto!$G$106,IF(C224=Pudotusvalikot!$N$6,Kalusto!$G$107,IF(C224=Pudotusvalikot!$N$7,Kalusto!$G$108,Kalusto!$G$105)))))</f>
        <v>4.9950000000000001E-2</v>
      </c>
      <c r="L224" s="40"/>
      <c r="M224" s="41" t="s">
        <v>200</v>
      </c>
      <c r="N224" s="41"/>
      <c r="O224" s="256"/>
      <c r="Q224" s="35"/>
      <c r="R224" s="50" t="str">
        <f>IF(AND(ISNUMBER(G221)*ISNUMBER(C220)),K224*G224*C220,"")</f>
        <v/>
      </c>
      <c r="S224" s="102" t="s">
        <v>172</v>
      </c>
      <c r="T224" s="36"/>
      <c r="U224" s="36"/>
      <c r="V224" s="36"/>
      <c r="W224" s="36"/>
      <c r="X224" s="36"/>
      <c r="Y224" s="36"/>
      <c r="Z224" s="36"/>
      <c r="AA224" s="36"/>
      <c r="AB224" s="108"/>
      <c r="AC224" s="36"/>
      <c r="AD224" s="36"/>
      <c r="AE224" s="36"/>
      <c r="AF224" s="36"/>
      <c r="AG224" s="36"/>
      <c r="AH224" s="36"/>
      <c r="AI224" s="36"/>
      <c r="AJ224" s="36"/>
      <c r="AK224" s="36"/>
      <c r="AL224" s="36"/>
      <c r="AM224" s="36"/>
      <c r="AN224" s="37"/>
      <c r="AO224" s="37"/>
      <c r="AP224" s="37"/>
      <c r="AQ224" s="37"/>
      <c r="AR224" s="37"/>
      <c r="AS224" s="37"/>
      <c r="AT224" s="37"/>
      <c r="AU224" s="37"/>
      <c r="AV224" s="37"/>
      <c r="AW224" s="37"/>
      <c r="AX224" s="37"/>
      <c r="AY224" s="37"/>
      <c r="AZ224" s="37"/>
      <c r="BA224" s="37"/>
      <c r="BB224" s="37"/>
      <c r="BC224" s="37"/>
      <c r="BD224" s="37"/>
      <c r="BE224" s="37"/>
    </row>
    <row r="225" spans="2:57" s="31" customFormat="1" ht="15.5" x14ac:dyDescent="0.3">
      <c r="B225" s="155" t="s">
        <v>542</v>
      </c>
      <c r="C225" s="395" t="s">
        <v>284</v>
      </c>
      <c r="D225" s="395"/>
      <c r="G225" s="156"/>
      <c r="H225" s="84" t="s">
        <v>5</v>
      </c>
      <c r="J225" s="33" t="str">
        <f>IF(C225="Kuljetus","Ei oletusta","Oletus (" &amp; IF(C225="Tiekuljetus",Kalusto!$C$105,IF(C225="Raidekuljetus",Kalusto!$C$106,IF(C225="Laivarahti",Kalusto!$C$107,Kalusto!$C$108))) &amp; ")" )</f>
        <v>Oletus (Merikuljetus, konttilaiva, 1000 TEU)</v>
      </c>
      <c r="K225" s="96">
        <f>IF(ISNUMBER(L225),L225,IF(C225=Pudotusvalikot!$N$4,Kalusto!$G$105,IF(C225=Pudotusvalikot!$N$5,Kalusto!$G$106,IF(C225=Pudotusvalikot!$N$6,Kalusto!$G$107,IF(C225=Pudotusvalikot!$N$7,Kalusto!$G$108,"--")))))</f>
        <v>4.4999999999999998E-2</v>
      </c>
      <c r="L225" s="40"/>
      <c r="M225" s="41" t="s">
        <v>200</v>
      </c>
      <c r="N225" s="41"/>
      <c r="O225" s="256"/>
      <c r="Q225" s="35"/>
      <c r="R225" s="50" t="str">
        <f>IF(AND(ISNUMBER(G221)*ISNUMBER(C220)),K225*G225*C220,"")</f>
        <v/>
      </c>
      <c r="S225" s="102" t="s">
        <v>172</v>
      </c>
      <c r="T225" s="36"/>
      <c r="U225" s="36"/>
      <c r="V225" s="36"/>
      <c r="W225" s="36"/>
      <c r="X225" s="36"/>
      <c r="Y225" s="36"/>
      <c r="Z225" s="36"/>
      <c r="AA225" s="36"/>
      <c r="AB225" s="108"/>
      <c r="AC225" s="36"/>
      <c r="AD225" s="36"/>
      <c r="AE225" s="36"/>
      <c r="AF225" s="36"/>
      <c r="AG225" s="36"/>
      <c r="AH225" s="36"/>
      <c r="AI225" s="36"/>
      <c r="AJ225" s="36"/>
      <c r="AK225" s="36"/>
      <c r="AL225" s="36"/>
      <c r="AM225" s="36"/>
      <c r="AN225" s="37"/>
      <c r="AO225" s="37"/>
      <c r="AP225" s="37"/>
      <c r="AQ225" s="37"/>
      <c r="AR225" s="37"/>
      <c r="AS225" s="37"/>
      <c r="AT225" s="37"/>
      <c r="AU225" s="37"/>
      <c r="AV225" s="37"/>
      <c r="AW225" s="37"/>
      <c r="AX225" s="37"/>
      <c r="AY225" s="37"/>
      <c r="AZ225" s="37"/>
      <c r="BA225" s="37"/>
      <c r="BB225" s="37"/>
      <c r="BC225" s="37"/>
      <c r="BD225" s="37"/>
      <c r="BE225" s="37"/>
    </row>
    <row r="226" spans="2:57" s="31" customFormat="1" ht="15.5" x14ac:dyDescent="0.3">
      <c r="B226" s="155" t="s">
        <v>542</v>
      </c>
      <c r="C226" s="395" t="s">
        <v>283</v>
      </c>
      <c r="D226" s="395"/>
      <c r="G226" s="156"/>
      <c r="H226" s="84" t="s">
        <v>5</v>
      </c>
      <c r="J226" s="33" t="str">
        <f>IF(C226="Kuljetus","Ei oletusta","Oletus (" &amp; IF(C226="Tiekuljetus",Kalusto!$C$105,IF(C226="Raidekuljetus",Kalusto!$C$106,IF(C226="Laivarahti",Kalusto!$C$107,Kalusto!$C$108))) &amp; ")" )</f>
        <v>Oletus (Puoliperävaunuyhdistelmä, 40 t, 100 % kuorma, maantieajo)</v>
      </c>
      <c r="K226" s="96">
        <f>IF(ISNUMBER(L226),L226,IF(C226=Pudotusvalikot!$N$4,Kalusto!$G$105,IF(C226=Pudotusvalikot!$N$5,Kalusto!$G$106,IF(C226=Pudotusvalikot!$N$6,Kalusto!$G$107,IF(C226=Pudotusvalikot!$N$7,Kalusto!$G$108,"--")))))</f>
        <v>4.9950000000000001E-2</v>
      </c>
      <c r="L226" s="40"/>
      <c r="M226" s="41" t="s">
        <v>200</v>
      </c>
      <c r="N226" s="41"/>
      <c r="O226" s="256"/>
      <c r="Q226" s="35"/>
      <c r="R226" s="50" t="str">
        <f>IF(AND(ISNUMBER(G221)*ISNUMBER(C220)),K226*G226*C220,"")</f>
        <v/>
      </c>
      <c r="S226" s="102" t="s">
        <v>172</v>
      </c>
      <c r="T226" s="36"/>
      <c r="U226" s="36"/>
      <c r="V226" s="36"/>
      <c r="W226" s="36"/>
      <c r="X226" s="36"/>
      <c r="Y226" s="36"/>
      <c r="Z226" s="36"/>
      <c r="AA226" s="36"/>
      <c r="AB226" s="108"/>
      <c r="AC226" s="36"/>
      <c r="AD226" s="36"/>
      <c r="AE226" s="36"/>
      <c r="AF226" s="36"/>
      <c r="AG226" s="36"/>
      <c r="AH226" s="36"/>
      <c r="AI226" s="36"/>
      <c r="AJ226" s="36"/>
      <c r="AK226" s="36"/>
      <c r="AL226" s="36"/>
      <c r="AM226" s="36"/>
      <c r="AN226" s="37"/>
      <c r="AO226" s="37"/>
      <c r="AP226" s="37"/>
      <c r="AQ226" s="37"/>
      <c r="AR226" s="37"/>
      <c r="AS226" s="37"/>
      <c r="AT226" s="37"/>
      <c r="AU226" s="37"/>
      <c r="AV226" s="37"/>
      <c r="AW226" s="37"/>
      <c r="AX226" s="37"/>
      <c r="AY226" s="37"/>
      <c r="AZ226" s="37"/>
      <c r="BA226" s="37"/>
      <c r="BB226" s="37"/>
      <c r="BC226" s="37"/>
      <c r="BD226" s="37"/>
      <c r="BE226" s="37"/>
    </row>
    <row r="227" spans="2:57" s="31" customFormat="1" ht="15.5" x14ac:dyDescent="0.3">
      <c r="B227" s="9" t="str">
        <f>B191</f>
        <v>Kemikaali-, tuote- tai materiaalilaji 4</v>
      </c>
      <c r="C227" s="34"/>
      <c r="D227" s="84"/>
      <c r="G227" s="72"/>
      <c r="H227" s="84"/>
      <c r="J227" s="33"/>
      <c r="K227" s="34"/>
      <c r="L227" s="34"/>
      <c r="M227" s="84"/>
      <c r="N227" s="84"/>
      <c r="O227" s="257"/>
      <c r="Q227" s="35"/>
      <c r="R227" s="36" t="s">
        <v>350</v>
      </c>
      <c r="S227" s="36"/>
      <c r="T227" s="36"/>
      <c r="U227" s="36"/>
      <c r="V227" s="36"/>
      <c r="W227" s="36"/>
      <c r="X227" s="36"/>
      <c r="Y227" s="36"/>
      <c r="Z227" s="36"/>
      <c r="AA227" s="36"/>
      <c r="AB227" s="108"/>
      <c r="AC227" s="36"/>
      <c r="AD227" s="36"/>
      <c r="AE227" s="36"/>
      <c r="AF227" s="36"/>
      <c r="AG227" s="36"/>
      <c r="AH227" s="36"/>
      <c r="AI227" s="36"/>
      <c r="AJ227" s="36"/>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7" s="31" customFormat="1" ht="15.5" x14ac:dyDescent="0.3">
      <c r="B228" s="54" t="s">
        <v>375</v>
      </c>
      <c r="C228" s="160"/>
      <c r="D228" s="84" t="s">
        <v>281</v>
      </c>
      <c r="G228" s="34"/>
      <c r="H228" s="84"/>
      <c r="J228" s="33"/>
      <c r="K228" s="38" t="s">
        <v>329</v>
      </c>
      <c r="L228" s="38" t="s">
        <v>201</v>
      </c>
      <c r="M228" s="84"/>
      <c r="N228" s="84"/>
      <c r="O228" s="257"/>
      <c r="Q228" s="35"/>
      <c r="R228" s="50" t="str">
        <f>IF(AND(ISNUMBER(G229),ISNUMBER(C228)),SUM(R229,R232:R234),"")</f>
        <v/>
      </c>
      <c r="S228" s="102" t="s">
        <v>172</v>
      </c>
      <c r="T228" s="36"/>
      <c r="U228" s="36"/>
      <c r="V228" s="36"/>
      <c r="W228" s="36"/>
      <c r="X228" s="36"/>
      <c r="Y228" s="36"/>
      <c r="Z228" s="36"/>
      <c r="AA228" s="36"/>
      <c r="AB228" s="108"/>
      <c r="AC228" s="36"/>
      <c r="AD228" s="36"/>
      <c r="AE228" s="36"/>
      <c r="AF228" s="36"/>
      <c r="AG228" s="36"/>
      <c r="AH228" s="36"/>
      <c r="AI228" s="36"/>
      <c r="AJ228" s="36"/>
      <c r="AK228" s="36"/>
      <c r="AL228" s="36"/>
      <c r="AM228" s="36"/>
      <c r="AN228" s="37"/>
      <c r="AO228" s="37"/>
      <c r="AP228" s="37"/>
      <c r="AQ228" s="37"/>
      <c r="AR228" s="37"/>
      <c r="AS228" s="37"/>
      <c r="AT228" s="37"/>
      <c r="AU228" s="37"/>
      <c r="AV228" s="37"/>
      <c r="AW228" s="37"/>
      <c r="AX228" s="37"/>
      <c r="AY228" s="37"/>
      <c r="AZ228" s="37"/>
      <c r="BA228" s="37"/>
      <c r="BB228" s="37"/>
      <c r="BC228" s="37"/>
      <c r="BD228" s="37"/>
      <c r="BE228" s="37"/>
    </row>
    <row r="229" spans="2:57" s="31" customFormat="1" ht="46.5" x14ac:dyDescent="0.3">
      <c r="B229" s="155" t="s">
        <v>728</v>
      </c>
      <c r="C229" s="396" t="s">
        <v>283</v>
      </c>
      <c r="D229" s="397"/>
      <c r="G229" s="156"/>
      <c r="H229" s="84" t="s">
        <v>5</v>
      </c>
      <c r="J229" s="173" t="s">
        <v>441</v>
      </c>
      <c r="K229" s="96">
        <f>IF(ISNUMBER(L229),L229,IF(C229=Pudotusvalikot!$N$4,Kalusto!$G$105,IF(C229=Pudotusvalikot!$N$5,Kalusto!$G$106,IF(C229=Pudotusvalikot!$N$6,Kalusto!$G$107,IF(C229=Pudotusvalikot!$N$7,Kalusto!$G$108,Kalusto!$G$105))))*IF(OR(C231=Pudotusvalikot!$V$3,C231=Pudotusvalikot!$V$4),Muut!$E$38,IF(C231=Pudotusvalikot!$V$5,Muut!$E$39,IF(C231=Pudotusvalikot!$V$6,Muut!$E$40,Muut!$E$41))))</f>
        <v>4.9950000000000001E-2</v>
      </c>
      <c r="L229" s="40"/>
      <c r="M229" s="41" t="s">
        <v>200</v>
      </c>
      <c r="N229" s="41"/>
      <c r="O229" s="256"/>
      <c r="Q229" s="35"/>
      <c r="R229" s="50" t="str">
        <f>IF(ISNUMBER(Y230*X230*K229),Y230*X230*K229,"")</f>
        <v/>
      </c>
      <c r="S229" s="102" t="s">
        <v>172</v>
      </c>
      <c r="T229" s="36" t="s">
        <v>446</v>
      </c>
      <c r="U229" s="36" t="s">
        <v>384</v>
      </c>
      <c r="V229" s="36" t="s">
        <v>443</v>
      </c>
      <c r="W229" s="36" t="s">
        <v>444</v>
      </c>
      <c r="X229" s="36" t="s">
        <v>447</v>
      </c>
      <c r="Y229" s="36" t="s">
        <v>449</v>
      </c>
      <c r="Z229" s="36" t="s">
        <v>374</v>
      </c>
      <c r="AA229" s="36"/>
      <c r="AB229" s="108"/>
      <c r="AC229" s="36"/>
      <c r="AD229" s="36"/>
      <c r="AE229" s="36"/>
      <c r="AF229" s="36"/>
      <c r="AG229" s="36"/>
      <c r="AH229" s="36"/>
      <c r="AI229" s="36"/>
      <c r="AJ229" s="36"/>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7" s="31" customFormat="1" ht="15.5" x14ac:dyDescent="0.3">
      <c r="B230" s="78" t="s">
        <v>377</v>
      </c>
      <c r="C230" s="392" t="s">
        <v>93</v>
      </c>
      <c r="D230" s="393"/>
      <c r="E230" s="393"/>
      <c r="F230" s="393"/>
      <c r="G230" s="394"/>
      <c r="J230" s="33"/>
      <c r="K230" s="38" t="s">
        <v>329</v>
      </c>
      <c r="L230" s="38" t="s">
        <v>201</v>
      </c>
      <c r="M230" s="41"/>
      <c r="N230" s="41"/>
      <c r="O230" s="256"/>
      <c r="Q230" s="47"/>
      <c r="R230" s="108"/>
      <c r="S230" s="36"/>
      <c r="T230" s="48" t="str">
        <f>IF(ISNUMBER(L229),"Kohdetieto",IF(OR(C230=Pudotusvalikot!$D$14,C230=Pudotusvalikot!$D$15),Kalusto!$I$96,VLOOKUP(C230,Kalusto!$C$44:$L$83,7,FALSE)))</f>
        <v>Puoliperävaunu</v>
      </c>
      <c r="U230" s="48">
        <f>IF(ISNUMBER(L229),"Kohdetieto",IF(OR(C230=Pudotusvalikot!$D$14,C230=Pudotusvalikot!$D$15),Kalusto!$J$96,VLOOKUP(C230,Kalusto!$C$44:$L$83,8,FALSE)))</f>
        <v>40</v>
      </c>
      <c r="V230" s="49">
        <f>IF(ISNUMBER(L229),"Kohdetieto",IF(OR(C230=Pudotusvalikot!$D$14,C230=Pudotusvalikot!$D$15),Kalusto!$K$96,VLOOKUP(C230,Kalusto!$C$44:$L$83,9,FALSE)))</f>
        <v>0.8</v>
      </c>
      <c r="W230" s="49" t="str">
        <f>IF(ISNUMBER(L229),"Kohdetieto",IF(OR(C230=Pudotusvalikot!$D$14,C230=Pudotusvalikot!$D$15),Kalusto!$L$96,VLOOKUP(C230,Kalusto!$C$44:$L$83,10,FALSE)))</f>
        <v>maantieajo</v>
      </c>
      <c r="X230" s="50" t="str">
        <f>IF(ISBLANK(C228),"",C228/1000)</f>
        <v/>
      </c>
      <c r="Y230" s="48" t="str">
        <f>IF(ISNUMBER(G229),G229,"")</f>
        <v/>
      </c>
      <c r="Z230" s="51">
        <f>IF(ISNUMBER(L229),L229,K229)</f>
        <v>4.9950000000000001E-2</v>
      </c>
      <c r="AA230" s="36"/>
      <c r="AB230" s="108"/>
      <c r="AC230" s="36"/>
      <c r="AD230" s="36"/>
      <c r="AE230" s="36"/>
      <c r="AF230" s="36"/>
      <c r="AG230" s="36"/>
      <c r="AH230" s="36"/>
      <c r="AI230" s="36"/>
      <c r="AJ230" s="36"/>
      <c r="AK230" s="36"/>
      <c r="AL230" s="36"/>
      <c r="AM230" s="36"/>
      <c r="AN230" s="37"/>
      <c r="AO230" s="37"/>
      <c r="AP230" s="37"/>
      <c r="AQ230" s="37"/>
      <c r="AR230" s="37"/>
      <c r="AS230" s="37"/>
      <c r="AT230" s="37"/>
      <c r="AU230" s="37"/>
      <c r="AV230" s="37"/>
      <c r="AW230" s="37"/>
      <c r="AX230" s="37"/>
      <c r="AY230" s="37"/>
      <c r="AZ230" s="37"/>
      <c r="BA230" s="37"/>
      <c r="BB230" s="37"/>
      <c r="BC230" s="37"/>
      <c r="BD230" s="37"/>
      <c r="BE230" s="37"/>
    </row>
    <row r="231" spans="2:57" s="31" customFormat="1" ht="15.5" x14ac:dyDescent="0.3">
      <c r="B231" s="78" t="s">
        <v>506</v>
      </c>
      <c r="C231" s="160" t="s">
        <v>242</v>
      </c>
      <c r="D231" s="34"/>
      <c r="E231" s="34"/>
      <c r="F231" s="34"/>
      <c r="G231" s="34"/>
      <c r="H231" s="59"/>
      <c r="J231" s="173"/>
      <c r="K231" s="173"/>
      <c r="L231" s="173"/>
      <c r="M231" s="41"/>
      <c r="N231" s="41"/>
      <c r="O231" s="256"/>
      <c r="Q231" s="47"/>
      <c r="R231" s="36"/>
      <c r="S231" s="36"/>
      <c r="T231" s="36"/>
      <c r="U231" s="36"/>
      <c r="V231" s="181"/>
      <c r="W231" s="181"/>
      <c r="X231" s="61"/>
      <c r="Y231" s="36"/>
      <c r="Z231" s="61"/>
      <c r="AA231" s="182"/>
      <c r="AB231" s="61"/>
      <c r="AC231" s="61"/>
      <c r="AD231" s="61"/>
      <c r="AE231" s="61"/>
      <c r="AF231" s="182"/>
      <c r="AG231" s="61"/>
      <c r="AH231" s="36"/>
      <c r="AI231" s="36"/>
      <c r="AJ231" s="36"/>
      <c r="AK231" s="108"/>
      <c r="AL231" s="36"/>
      <c r="AM231" s="36"/>
      <c r="AN231" s="37"/>
      <c r="AO231" s="37"/>
      <c r="AP231" s="37"/>
      <c r="AQ231" s="37"/>
      <c r="AR231" s="37"/>
      <c r="AS231" s="37"/>
      <c r="AT231" s="37"/>
      <c r="AU231" s="37"/>
      <c r="AV231" s="37"/>
      <c r="AW231" s="37"/>
      <c r="AX231" s="37"/>
      <c r="AY231" s="37"/>
      <c r="AZ231" s="37"/>
      <c r="BA231" s="37"/>
      <c r="BB231" s="37"/>
      <c r="BC231" s="37"/>
      <c r="BD231" s="37"/>
      <c r="BE231" s="37"/>
    </row>
    <row r="232" spans="2:57" s="31" customFormat="1" ht="15.5" x14ac:dyDescent="0.3">
      <c r="B232" s="155" t="s">
        <v>543</v>
      </c>
      <c r="C232" s="395" t="s">
        <v>283</v>
      </c>
      <c r="D232" s="395"/>
      <c r="G232" s="156"/>
      <c r="H232" s="84" t="s">
        <v>5</v>
      </c>
      <c r="J232" s="33" t="str">
        <f>IF(C232="Kuljetus","Ei oletusta","Oletus (" &amp; IF(C232="Tiekuljetus",Kalusto!$C$105,IF(C232="Raidekuljetus",Kalusto!$C$106,IF(C232="Laivarahti",Kalusto!$C$107,Kalusto!$C$108))) &amp; ")" )</f>
        <v>Oletus (Puoliperävaunuyhdistelmä, 40 t, 100 % kuorma, maantieajo)</v>
      </c>
      <c r="K232" s="96">
        <f>IF(ISNUMBER(L232),L232,IF(C232=Pudotusvalikot!$N$4,Kalusto!$G$105,IF(C232=Pudotusvalikot!$N$5,Kalusto!$G$106,IF(C232=Pudotusvalikot!$N$6,Kalusto!$G$107,IF(C232=Pudotusvalikot!$N$7,Kalusto!$G$108,Kalusto!$G$105)))))</f>
        <v>4.9950000000000001E-2</v>
      </c>
      <c r="L232" s="40"/>
      <c r="M232" s="41" t="s">
        <v>200</v>
      </c>
      <c r="N232" s="41"/>
      <c r="O232" s="256"/>
      <c r="Q232" s="35"/>
      <c r="R232" s="50" t="str">
        <f>IF(AND(ISNUMBER(G229)*ISNUMBER(C228)),K232*G232*C228,"")</f>
        <v/>
      </c>
      <c r="S232" s="102" t="s">
        <v>172</v>
      </c>
      <c r="T232" s="36"/>
      <c r="U232" s="36"/>
      <c r="V232" s="36"/>
      <c r="W232" s="36"/>
      <c r="X232" s="36"/>
      <c r="Y232" s="36"/>
      <c r="Z232" s="36"/>
      <c r="AA232" s="36"/>
      <c r="AB232" s="108"/>
      <c r="AC232" s="36"/>
      <c r="AD232" s="36"/>
      <c r="AE232" s="36"/>
      <c r="AF232" s="36"/>
      <c r="AG232" s="36"/>
      <c r="AH232" s="36"/>
      <c r="AI232" s="36"/>
      <c r="AJ232" s="36"/>
      <c r="AK232" s="36"/>
      <c r="AL232" s="36"/>
      <c r="AM232" s="36"/>
      <c r="AN232" s="37"/>
      <c r="AO232" s="37"/>
      <c r="AP232" s="37"/>
      <c r="AQ232" s="37"/>
      <c r="AR232" s="37"/>
      <c r="AS232" s="37"/>
      <c r="AT232" s="37"/>
      <c r="AU232" s="37"/>
      <c r="AV232" s="37"/>
      <c r="AW232" s="37"/>
      <c r="AX232" s="37"/>
      <c r="AY232" s="37"/>
      <c r="AZ232" s="37"/>
      <c r="BA232" s="37"/>
      <c r="BB232" s="37"/>
      <c r="BC232" s="37"/>
      <c r="BD232" s="37"/>
      <c r="BE232" s="37"/>
    </row>
    <row r="233" spans="2:57" s="31" customFormat="1" ht="15.5" x14ac:dyDescent="0.3">
      <c r="B233" s="155" t="s">
        <v>543</v>
      </c>
      <c r="C233" s="395" t="s">
        <v>284</v>
      </c>
      <c r="D233" s="395"/>
      <c r="G233" s="156"/>
      <c r="H233" s="84" t="s">
        <v>5</v>
      </c>
      <c r="J233" s="33" t="str">
        <f>IF(C233="Kuljetus","Ei oletusta","Oletus (" &amp; IF(C233="Tiekuljetus",Kalusto!$C$105,IF(C233="Raidekuljetus",Kalusto!$C$106,IF(C233="Laivarahti",Kalusto!$C$107,Kalusto!$C$108))) &amp; ")" )</f>
        <v>Oletus (Merikuljetus, konttilaiva, 1000 TEU)</v>
      </c>
      <c r="K233" s="96">
        <f>IF(ISNUMBER(L233),L233,IF(C233=Pudotusvalikot!$N$4,Kalusto!$G$105,IF(C233=Pudotusvalikot!$N$5,Kalusto!$G$106,IF(C233=Pudotusvalikot!$N$6,Kalusto!$G$107,IF(C233=Pudotusvalikot!$N$7,Kalusto!$G$108,"--")))))</f>
        <v>4.4999999999999998E-2</v>
      </c>
      <c r="L233" s="40"/>
      <c r="M233" s="41" t="s">
        <v>200</v>
      </c>
      <c r="N233" s="41"/>
      <c r="O233" s="256"/>
      <c r="Q233" s="35"/>
      <c r="R233" s="50" t="str">
        <f>IF(AND(ISNUMBER(G229)*ISNUMBER(C228)),K233*G233*C228,"")</f>
        <v/>
      </c>
      <c r="S233" s="102" t="s">
        <v>172</v>
      </c>
      <c r="T233" s="36"/>
      <c r="U233" s="36"/>
      <c r="V233" s="36"/>
      <c r="W233" s="36"/>
      <c r="X233" s="36"/>
      <c r="Y233" s="36"/>
      <c r="Z233" s="36"/>
      <c r="AA233" s="36"/>
      <c r="AB233" s="108"/>
      <c r="AC233" s="36"/>
      <c r="AD233" s="36"/>
      <c r="AE233" s="36"/>
      <c r="AF233" s="36"/>
      <c r="AG233" s="36"/>
      <c r="AH233" s="36"/>
      <c r="AI233" s="36"/>
      <c r="AJ233" s="36"/>
      <c r="AK233" s="36"/>
      <c r="AL233" s="36"/>
      <c r="AM233" s="36"/>
      <c r="AN233" s="37"/>
      <c r="AO233" s="37"/>
      <c r="AP233" s="37"/>
      <c r="AQ233" s="37"/>
      <c r="AR233" s="37"/>
      <c r="AS233" s="37"/>
      <c r="AT233" s="37"/>
      <c r="AU233" s="37"/>
      <c r="AV233" s="37"/>
      <c r="AW233" s="37"/>
      <c r="AX233" s="37"/>
      <c r="AY233" s="37"/>
      <c r="AZ233" s="37"/>
      <c r="BA233" s="37"/>
      <c r="BB233" s="37"/>
      <c r="BC233" s="37"/>
      <c r="BD233" s="37"/>
      <c r="BE233" s="37"/>
    </row>
    <row r="234" spans="2:57" s="31" customFormat="1" ht="15.5" x14ac:dyDescent="0.3">
      <c r="B234" s="155" t="s">
        <v>543</v>
      </c>
      <c r="C234" s="395" t="s">
        <v>283</v>
      </c>
      <c r="D234" s="395"/>
      <c r="G234" s="156"/>
      <c r="H234" s="84" t="s">
        <v>5</v>
      </c>
      <c r="J234" s="33" t="str">
        <f>IF(C234="Kuljetus","Ei oletusta","Oletus (" &amp; IF(C234="Tiekuljetus",Kalusto!$C$105,IF(C234="Raidekuljetus",Kalusto!$C$106,IF(C234="Laivarahti",Kalusto!$C$107,Kalusto!$C$108))) &amp; ")" )</f>
        <v>Oletus (Puoliperävaunuyhdistelmä, 40 t, 100 % kuorma, maantieajo)</v>
      </c>
      <c r="K234" s="96">
        <f>IF(ISNUMBER(L234),L234,IF(C234=Pudotusvalikot!$N$4,Kalusto!$G$105,IF(C234=Pudotusvalikot!$N$5,Kalusto!$G$106,IF(C234=Pudotusvalikot!$N$6,Kalusto!$G$107,IF(C234=Pudotusvalikot!$N$7,Kalusto!$G$108,"--")))))</f>
        <v>4.9950000000000001E-2</v>
      </c>
      <c r="L234" s="40"/>
      <c r="M234" s="41" t="s">
        <v>200</v>
      </c>
      <c r="N234" s="41"/>
      <c r="O234" s="256"/>
      <c r="Q234" s="35"/>
      <c r="R234" s="50" t="str">
        <f>IF(AND(ISNUMBER(G229)*ISNUMBER(C228)),K234*G234*C228,"")</f>
        <v/>
      </c>
      <c r="S234" s="102" t="s">
        <v>172</v>
      </c>
      <c r="T234" s="36"/>
      <c r="U234" s="36"/>
      <c r="V234" s="36"/>
      <c r="W234" s="36"/>
      <c r="X234" s="36"/>
      <c r="Y234" s="36"/>
      <c r="Z234" s="36"/>
      <c r="AA234" s="36"/>
      <c r="AB234" s="108"/>
      <c r="AC234" s="36"/>
      <c r="AD234" s="36"/>
      <c r="AE234" s="36"/>
      <c r="AF234" s="36"/>
      <c r="AG234" s="36"/>
      <c r="AH234" s="36"/>
      <c r="AI234" s="36"/>
      <c r="AJ234" s="36"/>
      <c r="AK234" s="36"/>
      <c r="AL234" s="36"/>
      <c r="AM234" s="36"/>
      <c r="AN234" s="37"/>
      <c r="AO234" s="37"/>
      <c r="AP234" s="37"/>
      <c r="AQ234" s="37"/>
      <c r="AR234" s="37"/>
      <c r="AS234" s="37"/>
      <c r="AT234" s="37"/>
      <c r="AU234" s="37"/>
      <c r="AV234" s="37"/>
      <c r="AW234" s="37"/>
      <c r="AX234" s="37"/>
      <c r="AY234" s="37"/>
      <c r="AZ234" s="37"/>
      <c r="BA234" s="37"/>
      <c r="BB234" s="37"/>
      <c r="BC234" s="37"/>
      <c r="BD234" s="37"/>
      <c r="BE234" s="37"/>
    </row>
    <row r="235" spans="2:57" s="31" customFormat="1" ht="15.5" x14ac:dyDescent="0.3">
      <c r="B235" s="9" t="str">
        <f>B194</f>
        <v>Kemikaali-, tuote- tai materiaalilaji 5</v>
      </c>
      <c r="C235" s="34"/>
      <c r="D235" s="84"/>
      <c r="G235" s="72"/>
      <c r="H235" s="84"/>
      <c r="J235" s="33"/>
      <c r="K235" s="34"/>
      <c r="L235" s="34"/>
      <c r="M235" s="84"/>
      <c r="N235" s="84"/>
      <c r="O235" s="257"/>
      <c r="Q235" s="35"/>
      <c r="R235" s="36" t="s">
        <v>350</v>
      </c>
      <c r="S235" s="36"/>
      <c r="T235" s="36"/>
      <c r="U235" s="36"/>
      <c r="V235" s="36"/>
      <c r="W235" s="36"/>
      <c r="X235" s="36"/>
      <c r="Y235" s="36"/>
      <c r="Z235" s="36"/>
      <c r="AA235" s="36"/>
      <c r="AB235" s="108"/>
      <c r="AC235" s="36"/>
      <c r="AD235" s="36"/>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7" s="31" customFormat="1" ht="15.5" x14ac:dyDescent="0.3">
      <c r="B236" s="54" t="s">
        <v>286</v>
      </c>
      <c r="C236" s="160"/>
      <c r="D236" s="84" t="s">
        <v>281</v>
      </c>
      <c r="G236" s="34"/>
      <c r="H236" s="84"/>
      <c r="J236" s="33"/>
      <c r="K236" s="38" t="s">
        <v>329</v>
      </c>
      <c r="L236" s="38" t="s">
        <v>201</v>
      </c>
      <c r="M236" s="84"/>
      <c r="N236" s="84"/>
      <c r="O236" s="257"/>
      <c r="Q236" s="35"/>
      <c r="R236" s="50" t="str">
        <f>IF(AND(ISNUMBER(G237),ISNUMBER(C236)),SUM(R237,R240:R242),"")</f>
        <v/>
      </c>
      <c r="S236" s="102" t="s">
        <v>172</v>
      </c>
      <c r="T236" s="36"/>
      <c r="U236" s="36"/>
      <c r="V236" s="36"/>
      <c r="W236" s="36"/>
      <c r="X236" s="36"/>
      <c r="Y236" s="36"/>
      <c r="Z236" s="36"/>
      <c r="AA236" s="36"/>
      <c r="AB236" s="108"/>
      <c r="AC236" s="36"/>
      <c r="AD236" s="36"/>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7" s="31" customFormat="1" ht="46.5" x14ac:dyDescent="0.3">
      <c r="B237" s="155" t="s">
        <v>728</v>
      </c>
      <c r="C237" s="396" t="s">
        <v>283</v>
      </c>
      <c r="D237" s="397"/>
      <c r="G237" s="156"/>
      <c r="H237" s="84" t="s">
        <v>5</v>
      </c>
      <c r="J237" s="173" t="s">
        <v>441</v>
      </c>
      <c r="K237" s="96">
        <f>IF(ISNUMBER(L237),L237,IF(C237=Pudotusvalikot!$N$4,Kalusto!$G$105,IF(C237=Pudotusvalikot!$N$5,Kalusto!$G$106,IF(C237=Pudotusvalikot!$N$6,Kalusto!$G$107,IF(C237=Pudotusvalikot!$N$7,Kalusto!$G$108,Kalusto!$G$105))))*IF(OR(C239=Pudotusvalikot!$V$3,C239=Pudotusvalikot!$V$4),Muut!$E$38,IF(C239=Pudotusvalikot!$V$5,Muut!$E$39,IF(C239=Pudotusvalikot!$V$6,Muut!$E$40,Muut!$E$41))))</f>
        <v>4.9950000000000001E-2</v>
      </c>
      <c r="L237" s="40"/>
      <c r="M237" s="41" t="s">
        <v>200</v>
      </c>
      <c r="N237" s="41"/>
      <c r="O237" s="256"/>
      <c r="Q237" s="35"/>
      <c r="R237" s="50" t="str">
        <f>IF(ISNUMBER(Y238*X238*K237),Y238*X238*K237,"")</f>
        <v/>
      </c>
      <c r="S237" s="102" t="s">
        <v>172</v>
      </c>
      <c r="T237" s="36" t="s">
        <v>446</v>
      </c>
      <c r="U237" s="36" t="s">
        <v>384</v>
      </c>
      <c r="V237" s="36" t="s">
        <v>443</v>
      </c>
      <c r="W237" s="36" t="s">
        <v>444</v>
      </c>
      <c r="X237" s="36" t="s">
        <v>447</v>
      </c>
      <c r="Y237" s="36" t="s">
        <v>449</v>
      </c>
      <c r="Z237" s="36" t="s">
        <v>374</v>
      </c>
      <c r="AA237" s="36"/>
      <c r="AB237" s="108"/>
      <c r="AC237" s="36"/>
      <c r="AD237" s="36"/>
      <c r="AE237" s="36"/>
      <c r="AF237" s="36"/>
      <c r="AG237" s="36"/>
      <c r="AH237" s="36"/>
      <c r="AI237" s="36"/>
      <c r="AJ237" s="36"/>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7" s="31" customFormat="1" ht="15.5" x14ac:dyDescent="0.3">
      <c r="B238" s="78" t="s">
        <v>377</v>
      </c>
      <c r="C238" s="392" t="s">
        <v>93</v>
      </c>
      <c r="D238" s="393"/>
      <c r="E238" s="393"/>
      <c r="F238" s="393"/>
      <c r="G238" s="394"/>
      <c r="J238" s="33"/>
      <c r="K238" s="38" t="s">
        <v>329</v>
      </c>
      <c r="L238" s="38" t="s">
        <v>201</v>
      </c>
      <c r="M238" s="41"/>
      <c r="N238" s="41"/>
      <c r="O238" s="256"/>
      <c r="Q238" s="47"/>
      <c r="R238" s="108"/>
      <c r="S238" s="36"/>
      <c r="T238" s="48" t="str">
        <f>IF(ISNUMBER(L237),"Kohdetieto",IF(OR(C238=Pudotusvalikot!$D$14,C238=Pudotusvalikot!$D$15),Kalusto!$I$96,VLOOKUP(C238,Kalusto!$C$44:$L$83,7,FALSE)))</f>
        <v>Puoliperävaunu</v>
      </c>
      <c r="U238" s="48">
        <f>IF(ISNUMBER(L237),"Kohdetieto",IF(OR(C238=Pudotusvalikot!$D$14,C238=Pudotusvalikot!$D$15),Kalusto!$J$96,VLOOKUP(C238,Kalusto!$C$44:$L$83,8,FALSE)))</f>
        <v>40</v>
      </c>
      <c r="V238" s="49">
        <f>IF(ISNUMBER(L237),"Kohdetieto",IF(OR(C238=Pudotusvalikot!$D$14,C238=Pudotusvalikot!$D$15),Kalusto!$K$96,VLOOKUP(C238,Kalusto!$C$44:$L$83,9,FALSE)))</f>
        <v>0.8</v>
      </c>
      <c r="W238" s="49" t="str">
        <f>IF(ISNUMBER(L237),"Kohdetieto",IF(OR(C238=Pudotusvalikot!$D$14,C238=Pudotusvalikot!$D$15),Kalusto!$L$96,VLOOKUP(C238,Kalusto!$C$44:$L$83,10,FALSE)))</f>
        <v>maantieajo</v>
      </c>
      <c r="X238" s="50" t="str">
        <f>IF(ISBLANK(C236),"",C236/1000)</f>
        <v/>
      </c>
      <c r="Y238" s="48" t="str">
        <f>IF(ISNUMBER(G237),G237,"")</f>
        <v/>
      </c>
      <c r="Z238" s="51">
        <f>IF(ISNUMBER(L237),L237,K237)</f>
        <v>4.9950000000000001E-2</v>
      </c>
      <c r="AA238" s="36"/>
      <c r="AB238" s="108"/>
      <c r="AC238" s="36"/>
      <c r="AD238" s="36"/>
      <c r="AE238" s="36"/>
      <c r="AF238" s="36"/>
      <c r="AG238" s="36"/>
      <c r="AH238" s="36"/>
      <c r="AI238" s="36"/>
      <c r="AJ238" s="36"/>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7" s="31" customFormat="1" ht="15.5" x14ac:dyDescent="0.3">
      <c r="B239" s="78" t="s">
        <v>506</v>
      </c>
      <c r="C239" s="160" t="s">
        <v>242</v>
      </c>
      <c r="D239" s="34"/>
      <c r="E239" s="34"/>
      <c r="F239" s="34"/>
      <c r="G239" s="34"/>
      <c r="H239" s="59"/>
      <c r="J239" s="173"/>
      <c r="K239" s="173"/>
      <c r="L239" s="173"/>
      <c r="M239" s="41"/>
      <c r="N239" s="41"/>
      <c r="O239" s="256"/>
      <c r="Q239" s="47"/>
      <c r="R239" s="36"/>
      <c r="S239" s="36"/>
      <c r="T239" s="36"/>
      <c r="U239" s="36"/>
      <c r="V239" s="181"/>
      <c r="W239" s="181"/>
      <c r="X239" s="61"/>
      <c r="Y239" s="36"/>
      <c r="Z239" s="61"/>
      <c r="AA239" s="182"/>
      <c r="AB239" s="61"/>
      <c r="AC239" s="61"/>
      <c r="AD239" s="61"/>
      <c r="AE239" s="61"/>
      <c r="AF239" s="182"/>
      <c r="AG239" s="61"/>
      <c r="AH239" s="36"/>
      <c r="AI239" s="36"/>
      <c r="AJ239" s="36"/>
      <c r="AK239" s="108"/>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7" s="31" customFormat="1" ht="15.5" x14ac:dyDescent="0.3">
      <c r="B240" s="155" t="s">
        <v>543</v>
      </c>
      <c r="C240" s="395" t="s">
        <v>283</v>
      </c>
      <c r="D240" s="395"/>
      <c r="G240" s="156"/>
      <c r="H240" s="84" t="s">
        <v>5</v>
      </c>
      <c r="J240" s="33" t="str">
        <f>IF(C240="Kuljetus","Ei oletusta","Oletus (" &amp; IF(C240="Tiekuljetus",Kalusto!$C$105,IF(C240="Raidekuljetus",Kalusto!$C$106,IF(C240="Laivarahti",Kalusto!$C$107,Kalusto!$C$108))) &amp; ")" )</f>
        <v>Oletus (Puoliperävaunuyhdistelmä, 40 t, 100 % kuorma, maantieajo)</v>
      </c>
      <c r="K240" s="96">
        <f>IF(ISNUMBER(L240),L240,IF(C240=Pudotusvalikot!$N$4,Kalusto!$G$105,IF(C240=Pudotusvalikot!$N$5,Kalusto!$G$106,IF(C240=Pudotusvalikot!$N$6,Kalusto!$G$107,IF(C240=Pudotusvalikot!$N$7,Kalusto!$G$108,Kalusto!$G$105)))))</f>
        <v>4.9950000000000001E-2</v>
      </c>
      <c r="L240" s="40"/>
      <c r="M240" s="41" t="s">
        <v>200</v>
      </c>
      <c r="N240" s="41"/>
      <c r="O240" s="256"/>
      <c r="Q240" s="35"/>
      <c r="R240" s="50" t="str">
        <f>IF(AND(ISNUMBER(G238)*ISNUMBER(C236)),K240*G240*C236,"")</f>
        <v/>
      </c>
      <c r="S240" s="102" t="s">
        <v>172</v>
      </c>
      <c r="T240" s="108"/>
      <c r="U240" s="36"/>
      <c r="V240" s="36"/>
      <c r="W240" s="36"/>
      <c r="X240" s="36"/>
      <c r="Y240" s="36"/>
      <c r="Z240" s="36"/>
      <c r="AA240" s="36"/>
      <c r="AB240" s="36"/>
      <c r="AC240" s="36"/>
      <c r="AD240" s="36"/>
      <c r="AE240" s="36"/>
      <c r="AF240" s="36"/>
      <c r="AG240" s="36"/>
      <c r="AH240" s="36"/>
      <c r="AI240" s="36"/>
      <c r="AJ240" s="36"/>
      <c r="AK240" s="36"/>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9" s="31" customFormat="1" ht="15.5" x14ac:dyDescent="0.3">
      <c r="B241" s="155" t="s">
        <v>543</v>
      </c>
      <c r="C241" s="395" t="s">
        <v>284</v>
      </c>
      <c r="D241" s="395"/>
      <c r="G241" s="156"/>
      <c r="H241" s="84" t="s">
        <v>5</v>
      </c>
      <c r="J241" s="33" t="str">
        <f>IF(C241="Kuljetus","Ei oletusta","Oletus (" &amp; IF(C241="Tiekuljetus",Kalusto!$C$105,IF(C241="Raidekuljetus",Kalusto!$C$106,IF(C241="Laivarahti",Kalusto!$C$107,Kalusto!$C$108))) &amp; ")" )</f>
        <v>Oletus (Merikuljetus, konttilaiva, 1000 TEU)</v>
      </c>
      <c r="K241" s="96">
        <f>IF(ISNUMBER(L241),L241,IF(C241=Pudotusvalikot!$N$4,Kalusto!$G$105,IF(C241=Pudotusvalikot!$N$5,Kalusto!$G$106,IF(C241=Pudotusvalikot!$N$6,Kalusto!$G$107,IF(C241=Pudotusvalikot!$N$7,Kalusto!$G$108,"--")))))</f>
        <v>4.4999999999999998E-2</v>
      </c>
      <c r="L241" s="40"/>
      <c r="M241" s="41" t="s">
        <v>200</v>
      </c>
      <c r="N241" s="41"/>
      <c r="O241" s="256"/>
      <c r="Q241" s="35"/>
      <c r="R241" s="50" t="str">
        <f>IF(AND(ISNUMBER(G238)*ISNUMBER(C236)),K241*G241*C236,"")</f>
        <v/>
      </c>
      <c r="S241" s="102" t="s">
        <v>172</v>
      </c>
      <c r="T241" s="108"/>
      <c r="U241" s="36"/>
      <c r="V241" s="36"/>
      <c r="W241" s="36"/>
      <c r="X241" s="36"/>
      <c r="Y241" s="36"/>
      <c r="Z241" s="36"/>
      <c r="AA241" s="36"/>
      <c r="AB241" s="36"/>
      <c r="AC241" s="36"/>
      <c r="AD241" s="36"/>
      <c r="AE241" s="36"/>
      <c r="AF241" s="36"/>
      <c r="AG241" s="36"/>
      <c r="AH241" s="36"/>
      <c r="AI241" s="36"/>
      <c r="AJ241" s="36"/>
      <c r="AK241" s="36"/>
      <c r="AL241" s="36"/>
      <c r="AM241" s="36"/>
      <c r="AN241" s="37"/>
      <c r="AO241" s="37"/>
      <c r="AP241" s="37"/>
      <c r="AQ241" s="37"/>
      <c r="AR241" s="37"/>
      <c r="AS241" s="37"/>
      <c r="AT241" s="37"/>
      <c r="AU241" s="37"/>
      <c r="AV241" s="37"/>
      <c r="AW241" s="37"/>
      <c r="AX241" s="37"/>
      <c r="AY241" s="37"/>
      <c r="AZ241" s="37"/>
      <c r="BA241" s="37"/>
      <c r="BB241" s="37"/>
      <c r="BC241" s="37"/>
      <c r="BD241" s="37"/>
      <c r="BE241" s="37"/>
    </row>
    <row r="242" spans="2:59" s="31" customFormat="1" ht="15.5" x14ac:dyDescent="0.3">
      <c r="B242" s="155" t="s">
        <v>543</v>
      </c>
      <c r="C242" s="395" t="s">
        <v>283</v>
      </c>
      <c r="D242" s="395"/>
      <c r="G242" s="156"/>
      <c r="H242" s="84" t="s">
        <v>5</v>
      </c>
      <c r="J242" s="33" t="str">
        <f>IF(C242="Kuljetus","Ei oletusta","Oletus (" &amp; IF(C242="Tiekuljetus",Kalusto!$C$105,IF(C242="Raidekuljetus",Kalusto!$C$106,IF(C242="Laivarahti",Kalusto!$C$107,Kalusto!$C$108))) &amp; ")" )</f>
        <v>Oletus (Puoliperävaunuyhdistelmä, 40 t, 100 % kuorma, maantieajo)</v>
      </c>
      <c r="K242" s="96">
        <f>IF(ISNUMBER(L242),L242,IF(C242=Pudotusvalikot!$N$4,Kalusto!$G$105,IF(C242=Pudotusvalikot!$N$5,Kalusto!$G$106,IF(C242=Pudotusvalikot!$N$6,Kalusto!$G$107,IF(C242=Pudotusvalikot!$N$7,Kalusto!$G$108,"--")))))</f>
        <v>4.9950000000000001E-2</v>
      </c>
      <c r="L242" s="40"/>
      <c r="M242" s="41" t="s">
        <v>200</v>
      </c>
      <c r="N242" s="41"/>
      <c r="O242" s="256"/>
      <c r="Q242" s="35"/>
      <c r="R242" s="50" t="str">
        <f>IF(AND(ISNUMBER(G238)*ISNUMBER(C236)),K242*G242*C236,"")</f>
        <v/>
      </c>
      <c r="S242" s="102" t="s">
        <v>172</v>
      </c>
      <c r="T242" s="108"/>
      <c r="U242" s="36"/>
      <c r="V242" s="36"/>
      <c r="W242" s="36"/>
      <c r="X242" s="36"/>
      <c r="Y242" s="36"/>
      <c r="Z242" s="36"/>
      <c r="AA242" s="36"/>
      <c r="AB242" s="36"/>
      <c r="AC242" s="36"/>
      <c r="AD242" s="36"/>
      <c r="AE242" s="36"/>
      <c r="AF242" s="36"/>
      <c r="AG242" s="36"/>
      <c r="AH242" s="36"/>
      <c r="AI242" s="36"/>
      <c r="AJ242" s="36"/>
      <c r="AK242" s="36"/>
      <c r="AL242" s="36"/>
      <c r="AM242" s="36"/>
      <c r="AN242" s="37"/>
      <c r="AO242" s="37"/>
      <c r="AP242" s="37"/>
      <c r="AQ242" s="37"/>
      <c r="AR242" s="37"/>
      <c r="AS242" s="37"/>
      <c r="AT242" s="37"/>
      <c r="AU242" s="37"/>
      <c r="AV242" s="37"/>
      <c r="AW242" s="37"/>
      <c r="AX242" s="37"/>
      <c r="AY242" s="37"/>
      <c r="AZ242" s="37"/>
      <c r="BA242" s="37"/>
      <c r="BB242" s="37"/>
      <c r="BC242" s="37"/>
      <c r="BD242" s="37"/>
      <c r="BE242" s="37"/>
    </row>
    <row r="243" spans="2:59" s="31" customFormat="1" ht="15.5" x14ac:dyDescent="0.3">
      <c r="C243" s="34"/>
      <c r="D243" s="84"/>
      <c r="G243" s="34"/>
      <c r="H243" s="84"/>
      <c r="J243" s="33"/>
      <c r="K243" s="34"/>
      <c r="L243" s="34"/>
      <c r="M243" s="84"/>
      <c r="N243" s="84"/>
      <c r="O243" s="255"/>
      <c r="Q243" s="35"/>
      <c r="R243" s="99"/>
      <c r="S243" s="36"/>
      <c r="T243" s="36"/>
      <c r="U243" s="36"/>
      <c r="V243" s="36"/>
      <c r="W243" s="36"/>
      <c r="X243" s="36"/>
      <c r="Y243" s="36"/>
      <c r="Z243" s="36"/>
      <c r="AA243" s="36"/>
      <c r="AB243" s="36"/>
      <c r="AC243" s="36"/>
      <c r="AD243" s="36"/>
      <c r="AE243" s="36"/>
      <c r="AF243" s="36"/>
      <c r="AG243" s="36"/>
      <c r="AH243" s="36"/>
      <c r="AI243" s="36"/>
      <c r="AJ243" s="36"/>
      <c r="AK243" s="36"/>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9" s="298" customFormat="1" ht="18" x14ac:dyDescent="0.3">
      <c r="B244" s="295" t="s">
        <v>734</v>
      </c>
      <c r="C244" s="296"/>
      <c r="D244" s="297"/>
      <c r="G244" s="296"/>
      <c r="H244" s="297"/>
      <c r="K244" s="299"/>
      <c r="L244" s="299"/>
      <c r="M244" s="297"/>
      <c r="N244" s="297"/>
      <c r="O244" s="300"/>
      <c r="Q244" s="301"/>
      <c r="R244" s="302" t="str">
        <f>IF(OR(ISNUMBER(#REF!),ISNUMBER(#REF!),ISNUMBER(#REF!)),SUM(#REF!,#REF!,#REF!),"")</f>
        <v/>
      </c>
      <c r="S244" s="303"/>
      <c r="T244" s="303"/>
      <c r="U244" s="303"/>
      <c r="V244" s="303"/>
      <c r="W244" s="303"/>
      <c r="X244" s="303"/>
      <c r="Y244" s="303"/>
      <c r="Z244" s="303"/>
      <c r="AA244" s="303"/>
      <c r="AB244" s="303"/>
      <c r="AC244" s="303"/>
      <c r="AD244" s="303"/>
      <c r="AE244" s="303"/>
      <c r="AF244" s="303"/>
      <c r="AG244" s="303"/>
      <c r="AH244" s="303"/>
      <c r="AI244" s="303"/>
      <c r="AJ244" s="303"/>
      <c r="AK244" s="303"/>
      <c r="AL244" s="303"/>
      <c r="AM244" s="303"/>
      <c r="AN244" s="304"/>
      <c r="AO244" s="304"/>
      <c r="AP244" s="304"/>
      <c r="AQ244" s="304"/>
      <c r="AR244" s="304"/>
      <c r="AS244" s="304"/>
      <c r="AT244" s="304"/>
      <c r="AU244" s="304"/>
      <c r="AV244" s="304"/>
      <c r="AW244" s="304"/>
      <c r="AX244" s="304"/>
      <c r="AY244" s="304"/>
      <c r="AZ244" s="304"/>
      <c r="BA244" s="304"/>
      <c r="BB244" s="304"/>
      <c r="BC244" s="304"/>
      <c r="BD244" s="304"/>
      <c r="BE244" s="304"/>
    </row>
    <row r="245" spans="2:59" s="31" customFormat="1" ht="15.5" x14ac:dyDescent="0.3">
      <c r="B245" s="9"/>
      <c r="C245" s="34"/>
      <c r="D245" s="84"/>
      <c r="G245" s="34" t="s">
        <v>43</v>
      </c>
      <c r="H245" s="84"/>
      <c r="K245" s="38" t="s">
        <v>329</v>
      </c>
      <c r="L245" s="38" t="s">
        <v>201</v>
      </c>
      <c r="M245" s="84"/>
      <c r="N245" s="84"/>
      <c r="O245" s="255" t="s">
        <v>644</v>
      </c>
      <c r="Q245" s="35"/>
      <c r="R245" s="36" t="s">
        <v>350</v>
      </c>
      <c r="S245" s="36"/>
      <c r="T245" s="36" t="s">
        <v>267</v>
      </c>
      <c r="U245" s="36" t="s">
        <v>268</v>
      </c>
      <c r="V245" s="36" t="s">
        <v>269</v>
      </c>
      <c r="W245" s="36" t="s">
        <v>272</v>
      </c>
      <c r="X245" s="36" t="s">
        <v>270</v>
      </c>
      <c r="Y245" s="36" t="s">
        <v>271</v>
      </c>
      <c r="Z245" s="36" t="s">
        <v>273</v>
      </c>
      <c r="AA245" s="108"/>
      <c r="AB245" s="36"/>
      <c r="AC245" s="36"/>
      <c r="AD245" s="36"/>
      <c r="AE245" s="36"/>
      <c r="AF245" s="36"/>
      <c r="AG245" s="36"/>
      <c r="AH245" s="36"/>
      <c r="AI245" s="36"/>
      <c r="AJ245" s="36"/>
      <c r="AK245" s="36"/>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9" s="31" customFormat="1" ht="15.5" x14ac:dyDescent="0.3">
      <c r="B246" s="54" t="s">
        <v>582</v>
      </c>
      <c r="C246" s="160"/>
      <c r="D246" s="84" t="s">
        <v>234</v>
      </c>
      <c r="G246" s="160"/>
      <c r="H246" s="84" t="s">
        <v>44</v>
      </c>
      <c r="J246" s="33" t="s">
        <v>566</v>
      </c>
      <c r="K246" s="112">
        <f>IF(ISNUMBER(L246),L246,IF(C250=Pudotusvalikot!$J$4,Kalusto!$E$98,IF(C250=Pudotusvalikot!$J$5,Kalusto!$E$99,IF(C250=Pudotusvalikot!$J$6,Kalusto!$E$100,IF(C250=Pudotusvalikot!$J$7,Kalusto!$E$101,IF(C250=Pudotusvalikot!$J$8,Kalusto!$E$102,IF(C250=Pudotusvalikot!$J$9,Kalusto!$E$103,IF(C250=Pudotusvalikot!$J$11,Kalusto!$E$104,Kalusto!$E$98))))))))</f>
        <v>5.5</v>
      </c>
      <c r="L246" s="63"/>
      <c r="M246" s="77" t="str">
        <f>IF(C250=Pudotusvalikot!$J$9,"kWh/100 km",IF(C250=Pudotusvalikot!$J$6,"kg/100 km","l/100 km"))</f>
        <v>l/100 km</v>
      </c>
      <c r="N246" s="77"/>
      <c r="O246" s="256"/>
      <c r="Q246" s="35"/>
      <c r="R246" s="109">
        <f>SUM(U246:Z246)</f>
        <v>0</v>
      </c>
      <c r="S246" s="102" t="s">
        <v>172</v>
      </c>
      <c r="T246" s="48">
        <f>IF(ISNUMBER(C247*C246*G246),C247*C246*G246,"")</f>
        <v>0</v>
      </c>
      <c r="U246" s="50">
        <f>IF(ISNUMBER(T246),IF(C250=Pudotusvalikot!$J$5,(Muut!$H$15+Muut!$H$18)*(T246*K246/100),0),"")</f>
        <v>0</v>
      </c>
      <c r="V246" s="50">
        <f>IF(ISNUMBER(T246),IF(C250=Pudotusvalikot!$J$4,(Muut!$H$14+Muut!$H$17)*(T246*K246/100),0),"")</f>
        <v>0</v>
      </c>
      <c r="W246" s="50">
        <f>IF(ISNUMBER(T246),IF(C250=Pudotusvalikot!$J$6,(Muut!$H$16+Muut!$H$19)*(T246*K246/100),0),"")</f>
        <v>0</v>
      </c>
      <c r="X246" s="50">
        <f>IF(ISNUMBER(T246),IF(C250=Pudotusvalikot!$J$7,((Muut!$H$15+Muut!$H$18)*(100%-Kalusto!$O$101)+(Muut!$H$14+Muut!$H$17)*Kalusto!$O$101)*(T246*K246/100),0),"")</f>
        <v>0</v>
      </c>
      <c r="Y246" s="74">
        <f>IF(ISNUMBER(T246),IF(C250=Pudotusvalikot!$J$8,((Kalusto!$K$102)*(100%-Kalusto!$O$102)+(Kalusto!$M$102)*Kalusto!$O$102)*(Muut!$H$13+Muut!$H$12)/100*T246/1000+((Kalusto!$G$102)*(100%-Kalusto!$O$102)+(Kalusto!$I$102)*Kalusto!$O$102)*(K246+Muut!$H$18)/100*T246,0),"")</f>
        <v>0</v>
      </c>
      <c r="Z246" s="74">
        <f>IF(ISNUMBER(T246),IF(C250=Pudotusvalikot!$J$9,Kalusto!$E$103*(K246+Muut!$H$12)/100*T246/1000,0),"")</f>
        <v>0</v>
      </c>
      <c r="AA246" s="108"/>
      <c r="AB246" s="36"/>
      <c r="AC246" s="36"/>
      <c r="AD246" s="36"/>
      <c r="AE246" s="36"/>
      <c r="AF246" s="36"/>
      <c r="AG246" s="36"/>
      <c r="AH246" s="36"/>
      <c r="AI246" s="36"/>
      <c r="AJ246" s="36"/>
      <c r="AK246" s="36"/>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9" s="31" customFormat="1" ht="15.5" x14ac:dyDescent="0.3">
      <c r="B247" s="45" t="s">
        <v>581</v>
      </c>
      <c r="C247" s="160"/>
      <c r="D247" s="84" t="s">
        <v>5</v>
      </c>
      <c r="G247" s="34"/>
      <c r="H247" s="84"/>
      <c r="K247" s="134"/>
      <c r="L247" s="38"/>
      <c r="M247" s="84"/>
      <c r="N247" s="84"/>
      <c r="O247" s="257"/>
      <c r="Q247" s="35"/>
      <c r="R247" s="36" t="s">
        <v>350</v>
      </c>
      <c r="S247" s="36"/>
      <c r="T247" s="36" t="s">
        <v>267</v>
      </c>
      <c r="U247" s="36" t="s">
        <v>268</v>
      </c>
      <c r="V247" s="36" t="s">
        <v>269</v>
      </c>
      <c r="W247" s="36" t="s">
        <v>272</v>
      </c>
      <c r="X247" s="36" t="s">
        <v>270</v>
      </c>
      <c r="Y247" s="36" t="s">
        <v>271</v>
      </c>
      <c r="Z247" s="36" t="s">
        <v>273</v>
      </c>
      <c r="AA247" s="108"/>
      <c r="AB247" s="36"/>
      <c r="AC247" s="36"/>
      <c r="AD247" s="36"/>
      <c r="AE247" s="36"/>
      <c r="AF247" s="36"/>
      <c r="AG247" s="36"/>
      <c r="AH247" s="36"/>
      <c r="AI247" s="36"/>
      <c r="AJ247" s="36"/>
      <c r="AK247" s="36"/>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9" s="31" customFormat="1" ht="31" x14ac:dyDescent="0.3">
      <c r="B248" s="78" t="s">
        <v>580</v>
      </c>
      <c r="C248" s="160"/>
      <c r="D248" s="84" t="s">
        <v>235</v>
      </c>
      <c r="G248" s="160"/>
      <c r="H248" s="84" t="s">
        <v>44</v>
      </c>
      <c r="J248" s="33" t="s">
        <v>566</v>
      </c>
      <c r="K248" s="112">
        <f>IF(ISNUMBER(L248),L248,IF(C250=Pudotusvalikot!$J$4,Kalusto!$E$98,IF(C250=Pudotusvalikot!$J$5,Kalusto!$E$99,IF(C250=Pudotusvalikot!$J$6,Kalusto!$E$100,IF(C250=Pudotusvalikot!$J$7,Kalusto!$E$101,IF(C250=Pudotusvalikot!$J$8,Kalusto!$E$102,IF(C250=Pudotusvalikot!$J$9,Kalusto!$E$103,IF(C250=Pudotusvalikot!$J$11,Kalusto!$E$104,Kalusto!$E$98))))))))</f>
        <v>5.5</v>
      </c>
      <c r="L248" s="63"/>
      <c r="M248" s="77" t="str">
        <f>IF(C250=Pudotusvalikot!$J$9,"kWh/100 km",IF(C250=Pudotusvalikot!$J$6,"kg/100 km","l/100 km"))</f>
        <v>l/100 km</v>
      </c>
      <c r="N248" s="77"/>
      <c r="O248" s="262"/>
      <c r="Q248" s="35"/>
      <c r="R248" s="109">
        <f>SUM(U248:Z248)</f>
        <v>0</v>
      </c>
      <c r="S248" s="102" t="s">
        <v>172</v>
      </c>
      <c r="T248" s="48">
        <f>IF(ISNUMBER(C249*C248*50*G248),C249*C248*50*G248,"")</f>
        <v>0</v>
      </c>
      <c r="U248" s="50">
        <f>IF(ISNUMBER(T248),IF(C250=Pudotusvalikot!$J$5,(Muut!$H$15+Muut!$H$18)*(T248*K248/100),0),"")</f>
        <v>0</v>
      </c>
      <c r="V248" s="50">
        <f>IF(ISNUMBER(T248),IF(C250=Pudotusvalikot!$J$4,(Muut!$H$14+Muut!$H$17)*(T248*K248/100),0),"")</f>
        <v>0</v>
      </c>
      <c r="W248" s="50">
        <f>IF(ISNUMBER(T248),IF(C250=Pudotusvalikot!$J$6,(Muut!$H$16+Muut!$H$19)*(T248*K248/100),0),"")</f>
        <v>0</v>
      </c>
      <c r="X248" s="50">
        <f>IF(ISNUMBER(T248),IF(C250=Pudotusvalikot!$J$7,((Muut!$H$15+Muut!$H$18)*(100%-Kalusto!$O$101)+(Muut!$H$14+Muut!$H$17)*Kalusto!$O$101)*(T248*K248/100),0),"")</f>
        <v>0</v>
      </c>
      <c r="Y248" s="74">
        <f>IF(ISNUMBER(T248),IF(C250=Pudotusvalikot!$J$8,((Kalusto!$K$102)*(100%-Kalusto!$O$102)+(Kalusto!$M$102)*Kalusto!$O$102)*(Muut!$H$13+Muut!$H$12)/100*T248/1000+((Kalusto!$G$102)*(100%-Kalusto!$O$102)+(Kalusto!$I$102)*Kalusto!$O$102)*(K248+Muut!$H$18)/100*T248,0),"")</f>
        <v>0</v>
      </c>
      <c r="Z248" s="74">
        <f>IF(ISNUMBER(T248),IF(C250=Pudotusvalikot!$J$9,Kalusto!$E$103*(K248+Muut!$H$12)/100*T248/1000,0),"")</f>
        <v>0</v>
      </c>
      <c r="AA248" s="108"/>
      <c r="AB248" s="36"/>
      <c r="AC248" s="36"/>
      <c r="AD248" s="36"/>
      <c r="AE248" s="36"/>
      <c r="AF248" s="36"/>
      <c r="AG248" s="36"/>
      <c r="AH248" s="36"/>
      <c r="AI248" s="36"/>
      <c r="AJ248" s="36"/>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9" s="31" customFormat="1" ht="15.5" x14ac:dyDescent="0.3">
      <c r="B249" s="45" t="s">
        <v>579</v>
      </c>
      <c r="C249" s="160"/>
      <c r="D249" s="84" t="s">
        <v>5</v>
      </c>
      <c r="G249" s="34"/>
      <c r="H249" s="84"/>
      <c r="K249" s="134"/>
      <c r="L249" s="38"/>
      <c r="M249" s="84"/>
      <c r="N249" s="84"/>
      <c r="O249" s="257"/>
      <c r="Q249" s="35"/>
      <c r="R249" s="36" t="s">
        <v>350</v>
      </c>
      <c r="S249" s="36"/>
      <c r="T249" s="36" t="s">
        <v>267</v>
      </c>
      <c r="U249" s="36" t="s">
        <v>268</v>
      </c>
      <c r="V249" s="36" t="s">
        <v>269</v>
      </c>
      <c r="W249" s="36" t="s">
        <v>272</v>
      </c>
      <c r="X249" s="36" t="s">
        <v>270</v>
      </c>
      <c r="Y249" s="36" t="s">
        <v>271</v>
      </c>
      <c r="Z249" s="36" t="s">
        <v>273</v>
      </c>
      <c r="AA249" s="108"/>
      <c r="AB249" s="36"/>
      <c r="AC249" s="36"/>
      <c r="AD249" s="36"/>
      <c r="AE249" s="36"/>
      <c r="AF249" s="36"/>
      <c r="AG249" s="36"/>
      <c r="AH249" s="36"/>
      <c r="AI249" s="36"/>
      <c r="AJ249" s="36"/>
      <c r="AK249" s="36"/>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9" s="31" customFormat="1" ht="15.5" x14ac:dyDescent="0.3">
      <c r="B250" s="54" t="s">
        <v>576</v>
      </c>
      <c r="C250" s="160" t="s">
        <v>242</v>
      </c>
      <c r="D250" s="321"/>
      <c r="G250" s="34"/>
      <c r="H250" s="84"/>
      <c r="J250" s="33"/>
      <c r="K250" s="34"/>
      <c r="L250" s="34"/>
      <c r="M250" s="84"/>
      <c r="N250" s="84"/>
      <c r="O250" s="257"/>
      <c r="Q250" s="35"/>
      <c r="R250" s="99"/>
      <c r="S250" s="36"/>
      <c r="T250" s="36"/>
      <c r="U250" s="36"/>
      <c r="V250" s="36"/>
      <c r="W250" s="36"/>
      <c r="X250" s="36"/>
      <c r="Y250" s="36"/>
      <c r="Z250" s="36"/>
      <c r="AA250" s="36"/>
      <c r="AB250" s="36"/>
      <c r="AC250" s="36"/>
      <c r="AD250" s="36"/>
      <c r="AE250" s="36"/>
      <c r="AF250" s="36"/>
      <c r="AG250" s="36"/>
      <c r="AH250" s="36"/>
      <c r="AI250" s="36"/>
      <c r="AJ250" s="36"/>
      <c r="AK250" s="36"/>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9" s="31" customFormat="1" ht="15.5" x14ac:dyDescent="0.3">
      <c r="B251" s="54"/>
      <c r="C251" s="34"/>
      <c r="D251" s="34"/>
      <c r="G251" s="34"/>
      <c r="H251" s="84"/>
      <c r="J251" s="33"/>
      <c r="K251" s="34"/>
      <c r="L251" s="34"/>
      <c r="M251" s="84"/>
      <c r="N251" s="84"/>
      <c r="O251" s="257"/>
      <c r="Q251" s="35"/>
      <c r="R251" s="99"/>
      <c r="S251" s="36"/>
      <c r="T251" s="36"/>
      <c r="U251" s="36"/>
      <c r="V251" s="36"/>
      <c r="W251" s="36"/>
      <c r="X251" s="36"/>
      <c r="Y251" s="36"/>
      <c r="Z251" s="36"/>
      <c r="AA251" s="36"/>
      <c r="AB251" s="36"/>
      <c r="AC251" s="36"/>
      <c r="AD251" s="36"/>
      <c r="AE251" s="36"/>
      <c r="AF251" s="36"/>
      <c r="AG251" s="36"/>
      <c r="AH251" s="36"/>
      <c r="AI251" s="36"/>
      <c r="AJ251" s="36"/>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9" s="25" customFormat="1" ht="30" x14ac:dyDescent="0.3">
      <c r="B252" s="8" t="s">
        <v>25</v>
      </c>
      <c r="C252" s="27"/>
      <c r="D252" s="85"/>
      <c r="G252" s="27"/>
      <c r="H252" s="85"/>
      <c r="K252" s="371"/>
      <c r="L252" s="371"/>
      <c r="M252" s="85"/>
      <c r="N252" s="85"/>
      <c r="O252" s="372"/>
      <c r="Q252" s="373"/>
      <c r="R252" s="374"/>
      <c r="S252" s="332"/>
      <c r="T252" s="332"/>
      <c r="U252" s="332"/>
      <c r="V252" s="332"/>
      <c r="W252" s="332"/>
      <c r="X252" s="332"/>
      <c r="Y252" s="332"/>
      <c r="Z252" s="332"/>
      <c r="AA252" s="332"/>
      <c r="AB252" s="332"/>
      <c r="AC252" s="332"/>
      <c r="AD252" s="332"/>
      <c r="AE252" s="332"/>
      <c r="AF252" s="332"/>
      <c r="AG252" s="332"/>
      <c r="AH252" s="332"/>
      <c r="AI252" s="332"/>
      <c r="AJ252" s="332"/>
      <c r="AK252" s="332"/>
      <c r="AL252" s="332"/>
      <c r="AM252" s="332"/>
      <c r="AN252" s="331"/>
      <c r="AO252" s="331"/>
      <c r="AP252" s="331"/>
      <c r="AQ252" s="331"/>
      <c r="AR252" s="331"/>
      <c r="AS252" s="331"/>
      <c r="AT252" s="331"/>
      <c r="AU252" s="331"/>
      <c r="AV252" s="331"/>
      <c r="AW252" s="331"/>
      <c r="AX252" s="331"/>
      <c r="AY252" s="331"/>
      <c r="AZ252" s="331"/>
      <c r="BA252" s="331"/>
      <c r="BB252" s="331"/>
      <c r="BC252" s="331"/>
      <c r="BD252" s="331"/>
      <c r="BE252" s="331"/>
    </row>
    <row r="253" spans="2:59" s="31" customFormat="1" ht="15.5" x14ac:dyDescent="0.3">
      <c r="C253" s="34"/>
      <c r="D253" s="84"/>
      <c r="G253" s="34"/>
      <c r="H253" s="84"/>
      <c r="J253" s="33"/>
      <c r="O253" s="171"/>
      <c r="P253" s="69"/>
      <c r="Q253" s="108"/>
      <c r="R253" s="98"/>
      <c r="S253" s="108"/>
      <c r="T253" s="37"/>
      <c r="U253" s="36"/>
      <c r="V253" s="36"/>
      <c r="W253" s="36"/>
      <c r="X253" s="36"/>
      <c r="Y253" s="36"/>
      <c r="Z253" s="36"/>
      <c r="AA253" s="36"/>
      <c r="AB253" s="36"/>
      <c r="AC253" s="36"/>
      <c r="AD253" s="36"/>
      <c r="AE253" s="36"/>
      <c r="AF253" s="36"/>
      <c r="AG253" s="36"/>
      <c r="AH253" s="36"/>
      <c r="AI253" s="36"/>
      <c r="AJ253" s="36"/>
      <c r="AK253" s="36"/>
      <c r="AL253" s="36"/>
      <c r="AM253" s="36"/>
      <c r="AN253" s="36"/>
      <c r="AO253" s="36"/>
      <c r="AP253" s="37"/>
      <c r="AQ253" s="37"/>
      <c r="AR253" s="37"/>
      <c r="AS253" s="37"/>
      <c r="AT253" s="37"/>
      <c r="AU253" s="37"/>
      <c r="AV253" s="37"/>
      <c r="AW253" s="37"/>
      <c r="AX253" s="37"/>
      <c r="AY253" s="37"/>
      <c r="AZ253" s="37"/>
      <c r="BA253" s="37"/>
      <c r="BB253" s="37"/>
      <c r="BC253" s="37"/>
      <c r="BD253" s="37"/>
      <c r="BE253" s="37"/>
      <c r="BF253" s="37"/>
      <c r="BG253" s="37"/>
    </row>
    <row r="254" spans="2:59" s="298" customFormat="1" ht="18" x14ac:dyDescent="0.3">
      <c r="B254" s="295" t="s">
        <v>737</v>
      </c>
      <c r="C254" s="296"/>
      <c r="D254" s="297"/>
      <c r="G254" s="296"/>
      <c r="H254" s="297"/>
      <c r="K254" s="299"/>
      <c r="L254" s="299"/>
      <c r="M254" s="297"/>
      <c r="N254" s="297"/>
      <c r="O254" s="300"/>
      <c r="Q254" s="301"/>
      <c r="R254" s="302"/>
      <c r="S254" s="303"/>
      <c r="T254" s="303"/>
      <c r="U254" s="303"/>
      <c r="V254" s="303"/>
      <c r="W254" s="303"/>
      <c r="X254" s="303"/>
      <c r="Y254" s="303"/>
      <c r="Z254" s="303"/>
      <c r="AA254" s="303"/>
      <c r="AB254" s="303"/>
      <c r="AC254" s="303"/>
      <c r="AD254" s="303"/>
      <c r="AE254" s="303"/>
      <c r="AF254" s="303"/>
      <c r="AG254" s="303"/>
      <c r="AH254" s="303"/>
      <c r="AI254" s="303"/>
      <c r="AJ254" s="303"/>
      <c r="AK254" s="303"/>
      <c r="AL254" s="303"/>
      <c r="AM254" s="303"/>
      <c r="AN254" s="304"/>
      <c r="AO254" s="304"/>
      <c r="AP254" s="304"/>
      <c r="AQ254" s="304"/>
      <c r="AR254" s="304"/>
      <c r="AS254" s="304"/>
      <c r="AT254" s="304"/>
      <c r="AU254" s="304"/>
      <c r="AV254" s="304"/>
      <c r="AW254" s="304"/>
      <c r="AX254" s="304"/>
      <c r="AY254" s="304"/>
      <c r="AZ254" s="304"/>
      <c r="BA254" s="304"/>
      <c r="BB254" s="304"/>
      <c r="BC254" s="304"/>
      <c r="BD254" s="304"/>
      <c r="BE254" s="304"/>
    </row>
    <row r="255" spans="2:59" s="31" customFormat="1" ht="15.5" x14ac:dyDescent="0.3">
      <c r="B255" s="9"/>
      <c r="C255" s="34"/>
      <c r="D255" s="84"/>
      <c r="G255" s="34"/>
      <c r="H255" s="84"/>
      <c r="K255" s="38"/>
      <c r="L255" s="38"/>
      <c r="O255" s="255" t="s">
        <v>644</v>
      </c>
      <c r="P255" s="69"/>
      <c r="Q255" s="108"/>
      <c r="R255" s="36" t="s">
        <v>350</v>
      </c>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7"/>
      <c r="AQ255" s="37"/>
      <c r="AR255" s="37"/>
      <c r="AS255" s="37"/>
      <c r="AT255" s="37"/>
      <c r="AU255" s="37"/>
      <c r="AV255" s="37"/>
      <c r="AW255" s="37"/>
      <c r="AX255" s="37"/>
      <c r="AY255" s="37"/>
      <c r="AZ255" s="37"/>
      <c r="BA255" s="37"/>
      <c r="BB255" s="37"/>
      <c r="BC255" s="37"/>
      <c r="BD255" s="37"/>
      <c r="BE255" s="37"/>
      <c r="BF255" s="37"/>
      <c r="BG255" s="37"/>
    </row>
    <row r="256" spans="2:59" s="31" customFormat="1" ht="15.5" x14ac:dyDescent="0.3">
      <c r="B256" s="155" t="s">
        <v>438</v>
      </c>
      <c r="C256" s="34"/>
      <c r="D256" s="84"/>
      <c r="G256" s="34"/>
      <c r="H256" s="84"/>
      <c r="K256" s="38" t="s">
        <v>329</v>
      </c>
      <c r="L256" s="38" t="s">
        <v>201</v>
      </c>
      <c r="M256" s="84"/>
      <c r="N256" s="84"/>
      <c r="O256" s="256"/>
      <c r="Q256" s="35"/>
      <c r="R256" s="36" t="s">
        <v>172</v>
      </c>
      <c r="S256" s="36"/>
      <c r="T256" s="36" t="s">
        <v>446</v>
      </c>
      <c r="U256" s="36" t="s">
        <v>445</v>
      </c>
      <c r="V256" s="36" t="s">
        <v>443</v>
      </c>
      <c r="W256" s="36" t="s">
        <v>444</v>
      </c>
      <c r="X256" s="36" t="s">
        <v>447</v>
      </c>
      <c r="Y256" s="36" t="s">
        <v>449</v>
      </c>
      <c r="Z256" s="36" t="s">
        <v>448</v>
      </c>
      <c r="AA256" s="36" t="s">
        <v>202</v>
      </c>
      <c r="AB256" s="36" t="s">
        <v>380</v>
      </c>
      <c r="AC256" s="36" t="s">
        <v>450</v>
      </c>
      <c r="AD256" s="36" t="s">
        <v>381</v>
      </c>
      <c r="AE256" s="36" t="s">
        <v>451</v>
      </c>
      <c r="AF256" s="36" t="s">
        <v>452</v>
      </c>
      <c r="AG256" s="36" t="s">
        <v>638</v>
      </c>
      <c r="AH256" s="36" t="s">
        <v>206</v>
      </c>
      <c r="AI256" s="36" t="s">
        <v>278</v>
      </c>
      <c r="AJ256" s="36" t="s">
        <v>207</v>
      </c>
      <c r="AK256" s="108"/>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46.5" x14ac:dyDescent="0.3">
      <c r="B257" s="170" t="s">
        <v>504</v>
      </c>
      <c r="C257" s="392" t="s">
        <v>93</v>
      </c>
      <c r="D257" s="393"/>
      <c r="E257" s="393"/>
      <c r="F257" s="393"/>
      <c r="G257" s="394"/>
      <c r="J257" s="173" t="s">
        <v>441</v>
      </c>
      <c r="K257" s="96">
        <f>IF(ISNUMBER(L257),L257,IF(OR(C257=Pudotusvalikot!$D$14,C257=Pudotusvalikot!$D$15),Kalusto!$G$96,VLOOKUP(C257,Kalusto!$C$44:$G$83,5,FALSE))*IF(OR(C258=Pudotusvalikot!$V$3,C258=Pudotusvalikot!$V$4),Muut!$E$38,IF(C258=Pudotusvalikot!$V$5,Muut!$E$39,IF(C258=Pudotusvalikot!$V$6,Muut!$E$40,Muut!$E$41))))</f>
        <v>5.7709999999999997E-2</v>
      </c>
      <c r="L257" s="40"/>
      <c r="M257" s="41" t="s">
        <v>200</v>
      </c>
      <c r="N257" s="41"/>
      <c r="O257" s="256"/>
      <c r="Q257" s="47"/>
      <c r="R257" s="50" t="str">
        <f ca="1">IF(AND(NOT(ISNUMBER(AB257)),NOT(ISNUMBER(AG257))),"",IF(ISNUMBER(AB257),AB257,0)+IF(ISNUMBER(AG257),AG257,0))</f>
        <v/>
      </c>
      <c r="S257" s="102" t="s">
        <v>484</v>
      </c>
      <c r="T257" s="48" t="str">
        <f>IF(ISNUMBER(L257),"Kohdetieto",IF(OR(C257=Pudotusvalikot!$D$14,C257=Pudotusvalikot!$D$15),Kalusto!$I$96,VLOOKUP(C257,Kalusto!$C$44:$L$83,7,FALSE)))</f>
        <v>Puoliperävaunu</v>
      </c>
      <c r="U257" s="48">
        <f>IF(ISNUMBER(L257),"Kohdetieto",IF(OR(C257=Pudotusvalikot!$D$14,C257=Pudotusvalikot!$D$15),Kalusto!$J$96,VLOOKUP(C257,Kalusto!$C$44:$L$83,8,FALSE)))</f>
        <v>40</v>
      </c>
      <c r="V257" s="49">
        <f>IF(ISNUMBER(L257),"Kohdetieto",IF(OR(C257=Pudotusvalikot!$D$14,C257=Pudotusvalikot!$D$15),Kalusto!$K$96,VLOOKUP(C257,Kalusto!$C$44:$L$83,9,FALSE)))</f>
        <v>0.8</v>
      </c>
      <c r="W257" s="49" t="str">
        <f>IF(ISNUMBER(L257),"Kohdetieto",IF(OR(C257=Pudotusvalikot!$D$14,C257=Pudotusvalikot!$D$15),Kalusto!$L$96,VLOOKUP(C257,Kalusto!$C$44:$L$83,10,FALSE)))</f>
        <v>maantieajo</v>
      </c>
      <c r="X257" s="50" t="str">
        <f>IF(ISBLANK(C259),"",C259)</f>
        <v/>
      </c>
      <c r="Y257" s="48" t="str">
        <f>IF(ISNUMBER(C260),C260,"")</f>
        <v/>
      </c>
      <c r="Z257" s="50" t="str">
        <f>IF(ISNUMBER(X257/(U257*V257)*Y257),X257/(U257*V257)*Y257,"")</f>
        <v/>
      </c>
      <c r="AA257" s="51">
        <f>IF(ISNUMBER(L257),L257,K257)</f>
        <v>5.7709999999999997E-2</v>
      </c>
      <c r="AB257" s="50" t="str">
        <f>IF(ISNUMBER(Y257*X257*K257),Y257*X257*K257,"")</f>
        <v/>
      </c>
      <c r="AC257" s="50" t="str">
        <f>IF(C272="Kyllä",Y257,"")</f>
        <v/>
      </c>
      <c r="AD257" s="50" t="str">
        <f>IF(C272="Kyllä",IF(ISNUMBER(X257/(U257*V257)),CEILING(X257/(U257*V257),1),""),"")</f>
        <v/>
      </c>
      <c r="AE257" s="50" t="str">
        <f>IF(ISNUMBER(AD257*AC257),AD257*AC257,"")</f>
        <v/>
      </c>
      <c r="AF257" s="51">
        <f ca="1">IF(ISNUMBER(L259),L259,K259)</f>
        <v>0.81247999999999998</v>
      </c>
      <c r="AG257" s="50" t="str">
        <f ca="1">IF(ISNUMBER(AC257*AD257*K259),AC257*AD257*K259,"")</f>
        <v/>
      </c>
      <c r="AH257" s="48">
        <f>IF(T257="Jakelukuorma-auto",0,IF(T257="Maansiirtoauto",4,IF(T257="Puoliperävaunu",6,8)))</f>
        <v>6</v>
      </c>
      <c r="AI257" s="48">
        <f>IF(AND(T257="Jakelukuorma-auto",U257=6),0,IF(AND(T257="Jakelukuorma-auto",U257=15),2,0))</f>
        <v>0</v>
      </c>
      <c r="AJ257" s="48">
        <f>IF(W257="maantieajo",0,1)</f>
        <v>0</v>
      </c>
      <c r="AK257" s="108"/>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15.5" x14ac:dyDescent="0.3">
      <c r="B258" s="186" t="s">
        <v>506</v>
      </c>
      <c r="C258" s="160" t="s">
        <v>242</v>
      </c>
      <c r="D258" s="34"/>
      <c r="E258" s="34"/>
      <c r="F258" s="34"/>
      <c r="G258" s="34"/>
      <c r="H258" s="59"/>
      <c r="J258" s="173"/>
      <c r="K258" s="173"/>
      <c r="L258" s="173"/>
      <c r="M258" s="41"/>
      <c r="N258" s="41"/>
      <c r="O258" s="256"/>
      <c r="Q258" s="47"/>
      <c r="R258" s="36"/>
      <c r="S258" s="36"/>
      <c r="T258" s="36"/>
      <c r="U258" s="36"/>
      <c r="V258" s="181"/>
      <c r="W258" s="181"/>
      <c r="X258" s="61"/>
      <c r="Y258" s="36"/>
      <c r="Z258" s="61"/>
      <c r="AA258" s="182"/>
      <c r="AB258" s="61"/>
      <c r="AC258" s="61"/>
      <c r="AD258" s="61"/>
      <c r="AE258" s="61"/>
      <c r="AF258" s="182"/>
      <c r="AG258" s="61"/>
      <c r="AH258" s="36"/>
      <c r="AI258" s="36"/>
      <c r="AJ258" s="36"/>
      <c r="AK258" s="108"/>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5" x14ac:dyDescent="0.3">
      <c r="B259" s="45" t="s">
        <v>505</v>
      </c>
      <c r="C259" s="156"/>
      <c r="D259" s="84" t="s">
        <v>52</v>
      </c>
      <c r="G259" s="34"/>
      <c r="H259" s="84"/>
      <c r="J259" s="33" t="s">
        <v>442</v>
      </c>
      <c r="K259" s="96">
        <f ca="1">IF(ISNUMBER(L259),L259,IF($C$115="Ei","",IF(AND($C$115="Kyllä",OR(C257=Pudotusvalikot!$D$14,C257=Pudotusvalikot!$D$15)),Kalusto!$G$97,OFFSET(Kalusto!$G$85,AH257+AJ257+AI257,0,1,1)))*IF(OR(C258=Pudotusvalikot!$V$3,C258=Pudotusvalikot!$V$4),Muut!$E$38,IF(C258=Pudotusvalikot!$V$5,Muut!$E$39,IF(C258=Pudotusvalikot!$V$6,Muut!$E$40,Muut!$E$41))))</f>
        <v>0.81247999999999998</v>
      </c>
      <c r="L259" s="40"/>
      <c r="M259" s="41" t="s">
        <v>204</v>
      </c>
      <c r="N259" s="41"/>
      <c r="O259" s="256"/>
      <c r="P259" s="34"/>
      <c r="Q259" s="52"/>
      <c r="R259" s="50" t="str">
        <f ca="1">IF(ISNUMBER(R257),R257,"")</f>
        <v/>
      </c>
      <c r="S259" s="102" t="s">
        <v>485</v>
      </c>
      <c r="T259" s="36"/>
      <c r="U259" s="36"/>
      <c r="V259" s="36"/>
      <c r="W259" s="36"/>
      <c r="X259" s="36"/>
      <c r="Y259" s="36"/>
      <c r="Z259" s="36"/>
      <c r="AA259" s="36"/>
      <c r="AB259" s="36"/>
      <c r="AC259" s="36"/>
      <c r="AD259" s="36"/>
      <c r="AE259" s="36"/>
      <c r="AF259" s="36"/>
      <c r="AG259" s="36"/>
      <c r="AH259" s="36"/>
      <c r="AI259" s="36"/>
      <c r="AJ259" s="36"/>
      <c r="AK259" s="108"/>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15.5" x14ac:dyDescent="0.3">
      <c r="B260" s="45" t="s">
        <v>507</v>
      </c>
      <c r="C260" s="156"/>
      <c r="D260" s="84" t="s">
        <v>5</v>
      </c>
      <c r="G260" s="34"/>
      <c r="H260" s="84"/>
      <c r="I260" s="53"/>
      <c r="J260" s="53"/>
      <c r="K260" s="34"/>
      <c r="L260" s="34"/>
      <c r="M260" s="84"/>
      <c r="N260" s="84"/>
      <c r="O260" s="257"/>
      <c r="P260" s="53"/>
      <c r="Q260" s="52"/>
      <c r="R260" s="36" t="s">
        <v>350</v>
      </c>
      <c r="S260" s="36"/>
      <c r="T260" s="36"/>
      <c r="U260" s="36"/>
      <c r="V260" s="36"/>
      <c r="W260" s="36"/>
      <c r="X260" s="36"/>
      <c r="Y260" s="36"/>
      <c r="Z260" s="36"/>
      <c r="AA260" s="36"/>
      <c r="AB260" s="36"/>
      <c r="AC260" s="36"/>
      <c r="AD260" s="36"/>
      <c r="AE260" s="36"/>
      <c r="AF260" s="36"/>
      <c r="AG260" s="36"/>
      <c r="AH260" s="36"/>
      <c r="AI260" s="36"/>
      <c r="AJ260" s="36"/>
      <c r="AK260" s="108"/>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31" customFormat="1" ht="15.5" x14ac:dyDescent="0.3">
      <c r="B261" s="155" t="s">
        <v>439</v>
      </c>
      <c r="C261" s="34"/>
      <c r="D261" s="84"/>
      <c r="G261" s="34"/>
      <c r="H261" s="84"/>
      <c r="J261" s="33"/>
      <c r="K261" s="38" t="s">
        <v>329</v>
      </c>
      <c r="L261" s="38" t="s">
        <v>201</v>
      </c>
      <c r="M261" s="84"/>
      <c r="N261" s="84"/>
      <c r="O261" s="257"/>
      <c r="P261" s="34"/>
      <c r="Q261" s="35"/>
      <c r="R261" s="36" t="s">
        <v>172</v>
      </c>
      <c r="S261" s="36"/>
      <c r="T261" s="36" t="s">
        <v>446</v>
      </c>
      <c r="U261" s="36" t="s">
        <v>445</v>
      </c>
      <c r="V261" s="36" t="s">
        <v>443</v>
      </c>
      <c r="W261" s="36" t="s">
        <v>444</v>
      </c>
      <c r="X261" s="36" t="s">
        <v>447</v>
      </c>
      <c r="Y261" s="36" t="s">
        <v>449</v>
      </c>
      <c r="Z261" s="36" t="s">
        <v>448</v>
      </c>
      <c r="AA261" s="36" t="s">
        <v>202</v>
      </c>
      <c r="AB261" s="36" t="s">
        <v>380</v>
      </c>
      <c r="AC261" s="36" t="s">
        <v>450</v>
      </c>
      <c r="AD261" s="36" t="s">
        <v>381</v>
      </c>
      <c r="AE261" s="36" t="s">
        <v>451</v>
      </c>
      <c r="AF261" s="36" t="s">
        <v>452</v>
      </c>
      <c r="AG261" s="36" t="s">
        <v>638</v>
      </c>
      <c r="AH261" s="36" t="s">
        <v>206</v>
      </c>
      <c r="AI261" s="36" t="s">
        <v>278</v>
      </c>
      <c r="AJ261" s="36" t="s">
        <v>207</v>
      </c>
      <c r="AK261" s="108"/>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46.5" x14ac:dyDescent="0.3">
      <c r="B262" s="170" t="s">
        <v>504</v>
      </c>
      <c r="C262" s="392" t="s">
        <v>93</v>
      </c>
      <c r="D262" s="393"/>
      <c r="E262" s="393"/>
      <c r="F262" s="393"/>
      <c r="G262" s="394"/>
      <c r="J262" s="173" t="s">
        <v>441</v>
      </c>
      <c r="K262" s="96">
        <f>IF(ISNUMBER(L262),L262,IF(OR(C262=Pudotusvalikot!$D$14,C262=Pudotusvalikot!$D$15),Kalusto!$G$96,VLOOKUP(C262,Kalusto!$C$44:$G$83,5,FALSE))*IF(OR(C263=Pudotusvalikot!$V$3,C263=Pudotusvalikot!$V$4),Muut!$E$38,IF(C263=Pudotusvalikot!$V$5,Muut!$E$39,IF(C263=Pudotusvalikot!$V$6,Muut!$E$40,Muut!$E$41))))</f>
        <v>5.7709999999999997E-2</v>
      </c>
      <c r="L262" s="40"/>
      <c r="M262" s="41" t="s">
        <v>200</v>
      </c>
      <c r="N262" s="41"/>
      <c r="O262" s="256"/>
      <c r="Q262" s="47"/>
      <c r="R262" s="50" t="str">
        <f ca="1">IF(AND(NOT(ISNUMBER(AB262)),NOT(ISNUMBER(AG262))),"",IF(ISNUMBER(AB262),AB262,0)+IF(ISNUMBER(AG262),AG262,0))</f>
        <v/>
      </c>
      <c r="S262" s="102" t="s">
        <v>484</v>
      </c>
      <c r="T262" s="48" t="str">
        <f>IF(ISNUMBER(L262),"Kohdetieto",IF(OR(C262=Pudotusvalikot!$D$14,C262=Pudotusvalikot!$D$15),Kalusto!$I$96,VLOOKUP(C262,Kalusto!$C$44:$L$83,7,FALSE)))</f>
        <v>Puoliperävaunu</v>
      </c>
      <c r="U262" s="48">
        <f>IF(ISNUMBER(L262),"Kohdetieto",IF(OR(C262=Pudotusvalikot!$D$14,C262=Pudotusvalikot!$D$15),Kalusto!$J$96,VLOOKUP(C262,Kalusto!$C$44:$L$83,8,FALSE)))</f>
        <v>40</v>
      </c>
      <c r="V262" s="49">
        <f>IF(ISNUMBER(L262),"Kohdetieto",IF(OR(C262=Pudotusvalikot!$D$14,C262=Pudotusvalikot!$D$15),Kalusto!$K$96,VLOOKUP(C262,Kalusto!$C$44:$L$83,9,FALSE)))</f>
        <v>0.8</v>
      </c>
      <c r="W262" s="49" t="str">
        <f>IF(ISNUMBER(L262),"Kohdetieto",IF(OR(C262=Pudotusvalikot!$D$14,C262=Pudotusvalikot!$D$15),Kalusto!$L$96,VLOOKUP(C262,Kalusto!$C$44:$L$83,10,FALSE)))</f>
        <v>maantieajo</v>
      </c>
      <c r="X262" s="50" t="str">
        <f>IF(ISBLANK(C264),"",C264)</f>
        <v/>
      </c>
      <c r="Y262" s="48" t="str">
        <f>IF(ISNUMBER(C265),C265,"")</f>
        <v/>
      </c>
      <c r="Z262" s="50" t="str">
        <f>IF(ISNUMBER(X262/(U262*V262)*Y262),X262/(U262*V262)*Y262,"")</f>
        <v/>
      </c>
      <c r="AA262" s="51">
        <f>IF(ISNUMBER(L262),L262,K262)</f>
        <v>5.7709999999999997E-2</v>
      </c>
      <c r="AB262" s="50" t="str">
        <f>IF(ISNUMBER(Y262*X262*K262),Y262*X262*K262,"")</f>
        <v/>
      </c>
      <c r="AC262" s="50" t="str">
        <f>IF(C277="Kyllä",Y262,"")</f>
        <v/>
      </c>
      <c r="AD262" s="50" t="str">
        <f>IF(C277="Kyllä",IF(ISNUMBER(X262/(U262*V262)),CEILING(X262/(U262*V262),1),""),"")</f>
        <v/>
      </c>
      <c r="AE262" s="50" t="str">
        <f>IF(ISNUMBER(AD262*AC262),AD262*AC262,"")</f>
        <v/>
      </c>
      <c r="AF262" s="51">
        <f ca="1">IF(ISNUMBER(L264),L264,K264)</f>
        <v>0.81247999999999998</v>
      </c>
      <c r="AG262" s="50" t="str">
        <f ca="1">IF(ISNUMBER(AC262*AD262*K264),AC262*AD262*K264,"")</f>
        <v/>
      </c>
      <c r="AH262" s="48">
        <f>IF(T262="Jakelukuorma-auto",0,IF(T262="Maansiirtoauto",4,IF(T262="Puoliperävaunu",6,8)))</f>
        <v>6</v>
      </c>
      <c r="AI262" s="48">
        <f>IF(AND(T262="Jakelukuorma-auto",U262=6),0,IF(AND(T262="Jakelukuorma-auto",U262=15),2,0))</f>
        <v>0</v>
      </c>
      <c r="AJ262" s="48">
        <f>IF(W262="maantieajo",0,1)</f>
        <v>0</v>
      </c>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15.5" x14ac:dyDescent="0.3">
      <c r="B263" s="186" t="s">
        <v>506</v>
      </c>
      <c r="C263" s="160" t="s">
        <v>242</v>
      </c>
      <c r="D263" s="34"/>
      <c r="E263" s="34"/>
      <c r="F263" s="34"/>
      <c r="G263" s="34"/>
      <c r="H263" s="59"/>
      <c r="J263" s="173"/>
      <c r="K263" s="173"/>
      <c r="L263" s="173"/>
      <c r="M263" s="41"/>
      <c r="N263" s="41"/>
      <c r="O263" s="256"/>
      <c r="Q263" s="47"/>
      <c r="R263" s="36"/>
      <c r="S263" s="36"/>
      <c r="T263" s="36"/>
      <c r="U263" s="36"/>
      <c r="V263" s="181"/>
      <c r="W263" s="181"/>
      <c r="X263" s="61"/>
      <c r="Y263" s="36"/>
      <c r="Z263" s="61"/>
      <c r="AA263" s="182"/>
      <c r="AB263" s="61"/>
      <c r="AC263" s="61"/>
      <c r="AD263" s="61"/>
      <c r="AE263" s="61"/>
      <c r="AF263" s="182"/>
      <c r="AG263" s="61"/>
      <c r="AH263" s="36"/>
      <c r="AI263" s="36"/>
      <c r="AJ263" s="36"/>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15.5" x14ac:dyDescent="0.3">
      <c r="B264" s="45" t="s">
        <v>505</v>
      </c>
      <c r="C264" s="157"/>
      <c r="D264" s="84" t="s">
        <v>52</v>
      </c>
      <c r="G264" s="34"/>
      <c r="H264" s="84"/>
      <c r="J264" s="33" t="s">
        <v>442</v>
      </c>
      <c r="K264" s="96">
        <f ca="1">IF(ISNUMBER(L264),L264,IF($C$115="Ei","",IF(AND($C$115="Kyllä",OR(C262=Pudotusvalikot!$D$14,C262=Pudotusvalikot!$D$15)),Kalusto!$G$97,OFFSET(Kalusto!$G$85,AH262+AJ262+AI262,0,1,1)))*IF(OR(C263=Pudotusvalikot!$V$3,C263=Pudotusvalikot!$V$4),Muut!$E$38,IF(C263=Pudotusvalikot!$V$5,Muut!$E$39,IF(C263=Pudotusvalikot!$V$6,Muut!$E$40,Muut!$E$41))))</f>
        <v>0.81247999999999998</v>
      </c>
      <c r="L264" s="40"/>
      <c r="M264" s="41" t="s">
        <v>204</v>
      </c>
      <c r="N264" s="41"/>
      <c r="O264" s="256"/>
      <c r="P264" s="34"/>
      <c r="Q264" s="52"/>
      <c r="R264" s="50" t="str">
        <f ca="1">IF(ISNUMBER(R262),R262,"")</f>
        <v/>
      </c>
      <c r="S264" s="102" t="s">
        <v>485</v>
      </c>
      <c r="T264" s="36"/>
      <c r="U264" s="36"/>
      <c r="V264" s="36"/>
      <c r="W264" s="36"/>
      <c r="X264" s="36"/>
      <c r="Y264" s="36"/>
      <c r="Z264" s="36"/>
      <c r="AA264" s="36"/>
      <c r="AB264" s="36"/>
      <c r="AC264" s="36"/>
      <c r="AD264" s="36"/>
      <c r="AE264" s="36"/>
      <c r="AF264" s="36"/>
      <c r="AG264" s="36"/>
      <c r="AH264" s="36"/>
      <c r="AI264" s="36"/>
      <c r="AJ264" s="36"/>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15.5" x14ac:dyDescent="0.3">
      <c r="B265" s="45" t="s">
        <v>507</v>
      </c>
      <c r="C265" s="158"/>
      <c r="D265" s="84" t="s">
        <v>5</v>
      </c>
      <c r="G265" s="34"/>
      <c r="H265" s="84"/>
      <c r="I265" s="53"/>
      <c r="J265" s="53"/>
      <c r="K265" s="34"/>
      <c r="L265" s="34"/>
      <c r="M265" s="84"/>
      <c r="N265" s="84"/>
      <c r="O265" s="257"/>
      <c r="P265" s="53"/>
      <c r="Q265" s="52"/>
      <c r="R265" s="36" t="s">
        <v>350</v>
      </c>
      <c r="S265" s="36"/>
      <c r="T265" s="36"/>
      <c r="U265" s="36"/>
      <c r="V265" s="36"/>
      <c r="W265" s="36"/>
      <c r="X265" s="36"/>
      <c r="Y265" s="36"/>
      <c r="Z265" s="36"/>
      <c r="AA265" s="36"/>
      <c r="AB265" s="36"/>
      <c r="AC265" s="36"/>
      <c r="AD265" s="36"/>
      <c r="AE265" s="36"/>
      <c r="AF265" s="36"/>
      <c r="AG265" s="36"/>
      <c r="AH265" s="36"/>
      <c r="AI265" s="36"/>
      <c r="AJ265" s="36"/>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5" x14ac:dyDescent="0.3">
      <c r="B266" s="155" t="s">
        <v>440</v>
      </c>
      <c r="C266" s="34"/>
      <c r="D266" s="84"/>
      <c r="G266" s="34"/>
      <c r="H266" s="84"/>
      <c r="J266" s="33"/>
      <c r="K266" s="38" t="s">
        <v>329</v>
      </c>
      <c r="L266" s="38" t="s">
        <v>201</v>
      </c>
      <c r="M266" s="84"/>
      <c r="N266" s="84"/>
      <c r="O266" s="257"/>
      <c r="P266" s="34"/>
      <c r="Q266" s="35"/>
      <c r="R266" s="36" t="s">
        <v>172</v>
      </c>
      <c r="S266" s="36"/>
      <c r="T266" s="36" t="s">
        <v>446</v>
      </c>
      <c r="U266" s="36" t="s">
        <v>445</v>
      </c>
      <c r="V266" s="36" t="s">
        <v>443</v>
      </c>
      <c r="W266" s="36" t="s">
        <v>444</v>
      </c>
      <c r="X266" s="36" t="s">
        <v>447</v>
      </c>
      <c r="Y266" s="36" t="s">
        <v>449</v>
      </c>
      <c r="Z266" s="36" t="s">
        <v>448</v>
      </c>
      <c r="AA266" s="36" t="s">
        <v>202</v>
      </c>
      <c r="AB266" s="36" t="s">
        <v>380</v>
      </c>
      <c r="AC266" s="36" t="s">
        <v>450</v>
      </c>
      <c r="AD266" s="36" t="s">
        <v>381</v>
      </c>
      <c r="AE266" s="36" t="s">
        <v>451</v>
      </c>
      <c r="AF266" s="36" t="s">
        <v>452</v>
      </c>
      <c r="AG266" s="36" t="s">
        <v>638</v>
      </c>
      <c r="AH266" s="36" t="s">
        <v>206</v>
      </c>
      <c r="AI266" s="36" t="s">
        <v>278</v>
      </c>
      <c r="AJ266" s="36" t="s">
        <v>207</v>
      </c>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46.5" x14ac:dyDescent="0.3">
      <c r="B267" s="170" t="s">
        <v>504</v>
      </c>
      <c r="C267" s="392" t="s">
        <v>93</v>
      </c>
      <c r="D267" s="393"/>
      <c r="E267" s="393"/>
      <c r="F267" s="393"/>
      <c r="G267" s="394"/>
      <c r="J267" s="173" t="s">
        <v>441</v>
      </c>
      <c r="K267" s="96">
        <f>IF(ISNUMBER(L267),L267,IF(OR(C267=Pudotusvalikot!$D$14,C267=Pudotusvalikot!$D$15),Kalusto!$G$96,VLOOKUP(C267,Kalusto!$C$44:$G$83,5,FALSE))*IF(OR(C268=Pudotusvalikot!$V$3,C268=Pudotusvalikot!$V$4),Muut!$E$38,IF(C268=Pudotusvalikot!$V$5,Muut!$E$39,IF(C268=Pudotusvalikot!$V$6,Muut!$E$40,Muut!$E$41))))</f>
        <v>5.7709999999999997E-2</v>
      </c>
      <c r="L267" s="40"/>
      <c r="M267" s="41" t="s">
        <v>200</v>
      </c>
      <c r="N267" s="41"/>
      <c r="O267" s="256"/>
      <c r="Q267" s="47"/>
      <c r="R267" s="50" t="str">
        <f ca="1">IF(AND(NOT(ISNUMBER(AB267)),NOT(ISNUMBER(AG267))),"",IF(ISNUMBER(AB267),AB267,0)+IF(ISNUMBER(AG267),AG267,0))</f>
        <v/>
      </c>
      <c r="S267" s="102" t="s">
        <v>484</v>
      </c>
      <c r="T267" s="48" t="str">
        <f>IF(ISNUMBER(L267),"Kohdetieto",IF(OR(C267=Pudotusvalikot!$D$14,C267=Pudotusvalikot!$D$15),Kalusto!$I$96,VLOOKUP(C267,Kalusto!$C$44:$L$83,7,FALSE)))</f>
        <v>Puoliperävaunu</v>
      </c>
      <c r="U267" s="48">
        <f>IF(ISNUMBER(L267),"Kohdetieto",IF(OR(C267=Pudotusvalikot!$D$14,C267=Pudotusvalikot!$D$15),Kalusto!$J$96,VLOOKUP(C267,Kalusto!$C$44:$L$83,8,FALSE)))</f>
        <v>40</v>
      </c>
      <c r="V267" s="49">
        <f>IF(ISNUMBER(L267),"Kohdetieto",IF(OR(C267=Pudotusvalikot!$D$14,C267=Pudotusvalikot!$D$15),Kalusto!$K$96,VLOOKUP(C267,Kalusto!$C$44:$L$83,9,FALSE)))</f>
        <v>0.8</v>
      </c>
      <c r="W267" s="49" t="str">
        <f>IF(ISNUMBER(L267),"Kohdetieto",IF(OR(C267=Pudotusvalikot!$D$14,C267=Pudotusvalikot!$D$15),Kalusto!$L$96,VLOOKUP(C267,Kalusto!$C$44:$L$83,10,FALSE)))</f>
        <v>maantieajo</v>
      </c>
      <c r="X267" s="50" t="str">
        <f>IF(ISBLANK(C269),"",C269)</f>
        <v/>
      </c>
      <c r="Y267" s="48" t="str">
        <f>IF(ISNUMBER(C270),C270,"")</f>
        <v/>
      </c>
      <c r="Z267" s="50" t="str">
        <f>IF(ISNUMBER(X267/(U267*V267)*Y267),X267/(U267*V267)*Y267,"")</f>
        <v/>
      </c>
      <c r="AA267" s="51">
        <f>IF(ISNUMBER(L267),L267,K267)</f>
        <v>5.7709999999999997E-2</v>
      </c>
      <c r="AB267" s="50" t="str">
        <f>IF(ISNUMBER(Y267*X267*K267),Y267*X267*K267,"")</f>
        <v/>
      </c>
      <c r="AC267" s="50" t="str">
        <f>IF(C282="Kyllä",Y267,"")</f>
        <v/>
      </c>
      <c r="AD267" s="50" t="str">
        <f>IF(C282="Kyllä",IF(ISNUMBER(X267/(U267*V267)),CEILING(X267/(U267*V267),1),""),"")</f>
        <v/>
      </c>
      <c r="AE267" s="50" t="str">
        <f>IF(ISNUMBER(AD267*AC267),AD267*AC267,"")</f>
        <v/>
      </c>
      <c r="AF267" s="51">
        <f ca="1">IF(ISNUMBER(L269),L269,K269)</f>
        <v>0.81247999999999998</v>
      </c>
      <c r="AG267" s="50" t="str">
        <f ca="1">IF(ISNUMBER(AC267*AD267*K269),AC267*AD267*K269,"")</f>
        <v/>
      </c>
      <c r="AH267" s="48">
        <f>IF(T267="Jakelukuorma-auto",0,IF(T267="Maansiirtoauto",4,IF(T267="Puoliperävaunu",6,8)))</f>
        <v>6</v>
      </c>
      <c r="AI267" s="48">
        <f>IF(AND(T267="Jakelukuorma-auto",U267=6),0,IF(AND(T267="Jakelukuorma-auto",U267=15),2,0))</f>
        <v>0</v>
      </c>
      <c r="AJ267" s="48">
        <f>IF(W267="maantieajo",0,1)</f>
        <v>0</v>
      </c>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15.5" x14ac:dyDescent="0.3">
      <c r="B268" s="186" t="s">
        <v>506</v>
      </c>
      <c r="C268" s="160" t="s">
        <v>242</v>
      </c>
      <c r="D268" s="34"/>
      <c r="E268" s="34"/>
      <c r="F268" s="34"/>
      <c r="G268" s="34"/>
      <c r="H268" s="59"/>
      <c r="J268" s="173"/>
      <c r="K268" s="173"/>
      <c r="L268" s="173"/>
      <c r="M268" s="41"/>
      <c r="N268" s="41"/>
      <c r="O268" s="256"/>
      <c r="Q268" s="47"/>
      <c r="R268" s="36"/>
      <c r="S268" s="36"/>
      <c r="T268" s="36"/>
      <c r="U268" s="36"/>
      <c r="V268" s="181"/>
      <c r="W268" s="181"/>
      <c r="X268" s="61"/>
      <c r="Y268" s="36"/>
      <c r="Z268" s="61"/>
      <c r="AA268" s="182"/>
      <c r="AB268" s="61"/>
      <c r="AC268" s="61"/>
      <c r="AD268" s="61"/>
      <c r="AE268" s="61"/>
      <c r="AF268" s="182"/>
      <c r="AG268" s="61"/>
      <c r="AH268" s="36"/>
      <c r="AI268" s="36"/>
      <c r="AJ268" s="36"/>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15.5" x14ac:dyDescent="0.3">
      <c r="B269" s="45" t="s">
        <v>505</v>
      </c>
      <c r="C269" s="156"/>
      <c r="D269" s="84" t="s">
        <v>52</v>
      </c>
      <c r="G269" s="34"/>
      <c r="H269" s="84"/>
      <c r="J269" s="33" t="s">
        <v>442</v>
      </c>
      <c r="K269" s="96">
        <f ca="1">IF(ISNUMBER(L269),L269,IF($C$115="Ei","",IF(AND($C$115="Kyllä",OR(C267=Pudotusvalikot!$D$14,C267=Pudotusvalikot!$D$15)),Kalusto!$G$97,OFFSET(Kalusto!$G$85,AH267+AJ267+AI267,0,1,1)))*IF(OR(C268=Pudotusvalikot!$V$3,C268=Pudotusvalikot!$V$4),Muut!$E$38,IF(C268=Pudotusvalikot!$V$5,Muut!$E$39,IF(C268=Pudotusvalikot!$V$6,Muut!$E$40,Muut!$E$41))))</f>
        <v>0.81247999999999998</v>
      </c>
      <c r="L269" s="40"/>
      <c r="M269" s="41" t="s">
        <v>204</v>
      </c>
      <c r="N269" s="41"/>
      <c r="O269" s="256"/>
      <c r="P269" s="34"/>
      <c r="Q269" s="52"/>
      <c r="R269" s="50" t="str">
        <f ca="1">IF(ISNUMBER(R267),R267,"")</f>
        <v/>
      </c>
      <c r="S269" s="102" t="s">
        <v>485</v>
      </c>
      <c r="T269" s="36"/>
      <c r="U269" s="36"/>
      <c r="V269" s="36"/>
      <c r="W269" s="36"/>
      <c r="X269" s="36"/>
      <c r="Y269" s="36"/>
      <c r="Z269" s="36"/>
      <c r="AA269" s="36"/>
      <c r="AB269" s="36"/>
      <c r="AC269" s="36"/>
      <c r="AD269" s="36"/>
      <c r="AE269" s="36"/>
      <c r="AF269" s="36"/>
      <c r="AG269" s="36"/>
      <c r="AH269" s="36"/>
      <c r="AI269" s="36"/>
      <c r="AJ269" s="36"/>
      <c r="AK269" s="36"/>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15.5" x14ac:dyDescent="0.3">
      <c r="B270" s="45" t="s">
        <v>507</v>
      </c>
      <c r="C270" s="156"/>
      <c r="D270" s="84" t="s">
        <v>5</v>
      </c>
      <c r="G270" s="34"/>
      <c r="H270" s="84"/>
      <c r="I270" s="53"/>
      <c r="J270" s="53"/>
      <c r="K270" s="34"/>
      <c r="L270" s="34"/>
      <c r="M270" s="84"/>
      <c r="N270" s="84"/>
      <c r="O270" s="257"/>
      <c r="P270" s="53"/>
      <c r="Q270" s="52"/>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15.5" x14ac:dyDescent="0.3">
      <c r="C271" s="34"/>
      <c r="D271" s="84"/>
      <c r="G271" s="34"/>
      <c r="H271" s="84"/>
      <c r="J271" s="33"/>
      <c r="K271" s="34"/>
      <c r="L271" s="34"/>
      <c r="M271" s="84"/>
      <c r="N271" s="84"/>
      <c r="O271" s="257"/>
      <c r="Q271" s="35"/>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46.5" x14ac:dyDescent="0.3">
      <c r="B272" s="78" t="s">
        <v>668</v>
      </c>
      <c r="C272" s="392" t="s">
        <v>6</v>
      </c>
      <c r="D272" s="394"/>
      <c r="E272" s="82">
        <f>A272</f>
        <v>0</v>
      </c>
      <c r="G272" s="82" t="str">
        <f>C272</f>
        <v>Kyllä</v>
      </c>
      <c r="H272" s="84"/>
      <c r="J272" s="33"/>
      <c r="K272" s="34"/>
      <c r="L272" s="34"/>
      <c r="M272" s="84"/>
      <c r="N272" s="84"/>
      <c r="O272" s="257"/>
      <c r="Q272" s="35"/>
      <c r="R272" s="99"/>
      <c r="S272" s="36"/>
      <c r="T272" s="36"/>
      <c r="U272" s="36"/>
      <c r="V272" s="36"/>
      <c r="W272" s="36"/>
      <c r="X272" s="36"/>
      <c r="Y272" s="36"/>
      <c r="Z272" s="36"/>
      <c r="AA272" s="36"/>
      <c r="AB272" s="36"/>
      <c r="AC272" s="36"/>
      <c r="AD272" s="36"/>
      <c r="AE272" s="36"/>
      <c r="AF272" s="36"/>
      <c r="AG272" s="36"/>
      <c r="AH272" s="36"/>
      <c r="AI272" s="36"/>
      <c r="AJ272" s="36"/>
      <c r="AK272" s="36"/>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15.5" x14ac:dyDescent="0.3">
      <c r="C273" s="34"/>
      <c r="D273" s="84"/>
      <c r="G273" s="34"/>
      <c r="H273" s="84"/>
      <c r="K273" s="34"/>
      <c r="L273" s="34"/>
      <c r="M273" s="84"/>
      <c r="N273" s="84"/>
      <c r="O273" s="255"/>
      <c r="Q273" s="35"/>
      <c r="R273" s="99"/>
      <c r="S273" s="36"/>
      <c r="T273" s="36"/>
      <c r="U273" s="36"/>
      <c r="V273" s="36"/>
      <c r="W273" s="36"/>
      <c r="X273" s="36"/>
      <c r="Y273" s="36"/>
      <c r="Z273" s="36"/>
      <c r="AA273" s="36"/>
      <c r="AB273" s="36"/>
      <c r="AC273" s="36"/>
      <c r="AD273" s="36"/>
      <c r="AE273" s="36"/>
      <c r="AF273" s="36"/>
      <c r="AG273" s="36"/>
      <c r="AH273" s="36"/>
      <c r="AI273" s="36"/>
      <c r="AJ273" s="36"/>
      <c r="AK273" s="36"/>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298" customFormat="1" ht="18" x14ac:dyDescent="0.3">
      <c r="B274" s="295" t="s">
        <v>738</v>
      </c>
      <c r="C274" s="296"/>
      <c r="D274" s="297"/>
      <c r="G274" s="296"/>
      <c r="H274" s="297"/>
      <c r="K274" s="299"/>
      <c r="L274" s="299"/>
      <c r="M274" s="297"/>
      <c r="N274" s="297"/>
      <c r="O274" s="300"/>
      <c r="Q274" s="301"/>
      <c r="R274" s="302"/>
      <c r="S274" s="303"/>
      <c r="T274" s="303"/>
      <c r="U274" s="303"/>
      <c r="V274" s="303"/>
      <c r="W274" s="303"/>
      <c r="X274" s="303"/>
      <c r="Y274" s="303"/>
      <c r="Z274" s="303"/>
      <c r="AA274" s="303"/>
      <c r="AB274" s="303"/>
      <c r="AC274" s="303"/>
      <c r="AD274" s="303"/>
      <c r="AE274" s="303"/>
      <c r="AF274" s="303"/>
      <c r="AG274" s="303"/>
      <c r="AH274" s="303"/>
      <c r="AI274" s="303"/>
      <c r="AJ274" s="303"/>
      <c r="AK274" s="303"/>
      <c r="AL274" s="303"/>
      <c r="AM274" s="303"/>
      <c r="AN274" s="304"/>
      <c r="AO274" s="304"/>
      <c r="AP274" s="304"/>
      <c r="AQ274" s="304"/>
      <c r="AR274" s="304"/>
      <c r="AS274" s="304"/>
      <c r="AT274" s="304"/>
      <c r="AU274" s="304"/>
      <c r="AV274" s="304"/>
      <c r="AW274" s="304"/>
      <c r="AX274" s="304"/>
      <c r="AY274" s="304"/>
      <c r="AZ274" s="304"/>
      <c r="BA274" s="304"/>
      <c r="BB274" s="304"/>
      <c r="BC274" s="304"/>
      <c r="BD274" s="304"/>
      <c r="BE274" s="304"/>
    </row>
    <row r="275" spans="2:57" s="31" customFormat="1" ht="15.5" x14ac:dyDescent="0.3">
      <c r="C275" s="34"/>
      <c r="D275" s="84"/>
      <c r="G275" s="34"/>
      <c r="H275" s="84"/>
      <c r="J275" s="33"/>
      <c r="K275" s="34"/>
      <c r="L275" s="34"/>
      <c r="M275" s="84"/>
      <c r="N275" s="84"/>
      <c r="O275" s="255" t="s">
        <v>644</v>
      </c>
      <c r="Q275" s="35"/>
      <c r="R275" s="99"/>
      <c r="S275" s="36"/>
      <c r="T275" s="36"/>
      <c r="U275" s="36"/>
      <c r="V275" s="36"/>
      <c r="W275" s="36"/>
      <c r="X275" s="36"/>
      <c r="Y275" s="36"/>
      <c r="Z275" s="36"/>
      <c r="AA275" s="36"/>
      <c r="AB275" s="36"/>
      <c r="AC275" s="36"/>
      <c r="AD275" s="36"/>
      <c r="AE275" s="36"/>
      <c r="AF275" s="36"/>
      <c r="AG275" s="36"/>
      <c r="AH275" s="36"/>
      <c r="AI275" s="36"/>
      <c r="AJ275" s="36"/>
      <c r="AK275" s="36"/>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5" x14ac:dyDescent="0.3">
      <c r="B276" s="164" t="s">
        <v>335</v>
      </c>
      <c r="C276" s="34"/>
      <c r="D276" s="84"/>
      <c r="G276" s="34"/>
      <c r="H276" s="84"/>
      <c r="K276" s="38"/>
      <c r="L276" s="38"/>
      <c r="M276" s="84"/>
      <c r="N276" s="84"/>
      <c r="O276" s="256"/>
      <c r="Q276" s="35"/>
      <c r="R276" s="99"/>
      <c r="S276" s="36"/>
      <c r="T276" s="36"/>
      <c r="U276" s="36"/>
      <c r="V276" s="36"/>
      <c r="W276" s="36"/>
      <c r="X276" s="36"/>
      <c r="Y276" s="36"/>
      <c r="Z276" s="36"/>
      <c r="AA276" s="36"/>
      <c r="AB276" s="36"/>
      <c r="AC276" s="36"/>
      <c r="AD276" s="36"/>
      <c r="AE276" s="36"/>
      <c r="AF276" s="36"/>
      <c r="AG276" s="36"/>
      <c r="AH276" s="36"/>
      <c r="AI276" s="36"/>
      <c r="AJ276" s="36"/>
      <c r="AK276" s="36"/>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46.5" x14ac:dyDescent="0.3">
      <c r="B277" s="78" t="s">
        <v>725</v>
      </c>
      <c r="C277" s="395" t="s">
        <v>111</v>
      </c>
      <c r="D277" s="395"/>
      <c r="E277" s="34"/>
      <c r="F277" s="34"/>
      <c r="G277" s="34"/>
      <c r="H277" s="84"/>
      <c r="K277" s="38" t="s">
        <v>329</v>
      </c>
      <c r="L277" s="38" t="s">
        <v>201</v>
      </c>
      <c r="M277" s="84" t="s">
        <v>319</v>
      </c>
      <c r="N277" s="84"/>
      <c r="O277" s="256"/>
      <c r="Q277" s="35"/>
      <c r="R277" s="36" t="s">
        <v>350</v>
      </c>
      <c r="S277" s="36"/>
      <c r="T277" s="108"/>
      <c r="U277" s="36"/>
      <c r="V277" s="36"/>
      <c r="W277" s="36"/>
      <c r="X277" s="36"/>
      <c r="Y277" s="36"/>
      <c r="Z277" s="36"/>
      <c r="AA277" s="36"/>
      <c r="AB277" s="36"/>
      <c r="AC277" s="36"/>
      <c r="AD277" s="36"/>
      <c r="AE277" s="36"/>
      <c r="AF277" s="36"/>
      <c r="AG277" s="36"/>
      <c r="AH277" s="36"/>
      <c r="AI277" s="36"/>
      <c r="AJ277" s="36"/>
      <c r="AK277" s="36"/>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15.5" x14ac:dyDescent="0.3">
      <c r="B278" s="54" t="s">
        <v>363</v>
      </c>
      <c r="C278" s="162"/>
      <c r="D278" s="323" t="str">
        <f>IF(C277=Pudotusvalikot!$N$14,"Yksikkö",IF(C277=Pudotusvalikot!$N$15,Pudotusvalikot!$O$15,IF(C277=Pudotusvalikot!$N$16,Pudotusvalikot!$O$16,IF(C277=Pudotusvalikot!$N$17,Pudotusvalikot!$O$17,IF(C277=Pudotusvalikot!$N$18,Pudotusvalikot!$O$18,IF(C277=Pudotusvalikot!$N$19,Pudotusvalikot!$O$19,IF(C277=Pudotusvalikot!$N$20,Pudotusvalikot!$O$20,IF(C277=Pudotusvalikot!$N$21,Pudotusvalikot!$O$21,IF(C277=Pudotusvalikot!$N$22,Pudotusvalikot!$O$22,IF(C277=Pudotusvalikot!$N$23,Pudotusvalikot!$O$23,IF(C277=Pudotusvalikot!$N$24,Pudotusvalikot!$O$24,IF(C277=Pudotusvalikot!$N$25,Pudotusvalikot!$O$25,IF(C277=Pudotusvalikot!$N$26,Pudotusvalikot!$O$26,IF(C277=Pudotusvalikot!$N$27,Pudotusvalikot!$O$27,IF(C277=Pudotusvalikot!$N$28,Pudotusvalikot!$O$28,"Yksikkö")))))))))))))))</f>
        <v>Yksikkö</v>
      </c>
      <c r="E278" s="34"/>
      <c r="F278" s="34"/>
      <c r="G278" s="34"/>
      <c r="H278" s="84"/>
      <c r="J278" s="33" t="s">
        <v>548</v>
      </c>
      <c r="K278" s="96" t="str">
        <f>IF(ISNUMBER(L278),L278,IF(C277=Pudotusvalikot!$N$14,"--",IF(C277=Pudotusvalikot!$N$15,Materiaalit!$G$117,IF(C277=Pudotusvalikot!$N$16,Materiaalit!$G$118,IF(C277=Pudotusvalikot!$N$17,Materiaalit!$G$119,IF(C277=Pudotusvalikot!$N$18,Materiaalit!$G$120,IF(C277=Pudotusvalikot!$N$19,Materiaalit!$G$121,IF(C277=Pudotusvalikot!$N$20,Materiaalit!$G$122,IF(C277=Pudotusvalikot!$N$21,Materiaalit!$G$123,IF(C277=Pudotusvalikot!$N$22,Materiaalit!$G$124,IF(C277=Pudotusvalikot!$N$23,Materiaalit!$G$125,IF(C277=Pudotusvalikot!$N$24,Materiaalit!$G$126,IF(C277=Pudotusvalikot!$N$25,Materiaalit!$G$127,IF(C277=Pudotusvalikot!$N$26,Materiaalit!$G$128,IF(C277=Pudotusvalikot!$N$27,Materiaalit!$G$129,IF(C277=Pudotusvalikot!$N$28,Materiaalit!$G$130,"Anna kerroin"))))))))))))))))</f>
        <v>--</v>
      </c>
      <c r="L278" s="40"/>
      <c r="M278" s="96" t="str">
        <f>IF(D278="Yksikkö","--","kgCO2e/" &amp;D278)</f>
        <v>--</v>
      </c>
      <c r="N278" s="42"/>
      <c r="O278" s="259"/>
      <c r="Q278" s="35"/>
      <c r="R278" s="50" t="str">
        <f>IF(NOT(AND(ISNUMBER(K278),ISNUMBER(C278))),"",C278*K278*IF(C277=Pudotusvalikot!$N$14,1,IF(C277=Pudotusvalikot!$N$15,Materiaalit!$K$117,IF(C277=Pudotusvalikot!$N$16,Materiaalit!$K$118,IF(C277=Pudotusvalikot!$N$17,Materiaalit!$K$119,IF(C277=Pudotusvalikot!$N$18,Materiaalit!$K$120,IF(C277=Pudotusvalikot!$N$19,Materiaalit!$K$121,IF(C277=Pudotusvalikot!$N$20,Materiaalit!$K$122,IF(C277=Pudotusvalikot!$N$21,Materiaalit!$K$123,IF(C277=Pudotusvalikot!$N$22,Materiaalit!$K$124,IF(C277=Pudotusvalikot!$N$23,Materiaalit!$K$125,IF(C277=Pudotusvalikot!$N$24,Materiaalit!$K$126,IF(C277=Pudotusvalikot!$N$25,Materiaalit!$K$127,IF(C277=Pudotusvalikot!$N$26,Materiaalit!$K$128,IF(C277=Pudotusvalikot!$N$27,Materiaalit!$K$129,Materiaalit!$K$130)))))))))))))))</f>
        <v/>
      </c>
      <c r="S278" s="102" t="s">
        <v>172</v>
      </c>
      <c r="T278" s="108"/>
      <c r="U278" s="36"/>
      <c r="V278" s="36"/>
      <c r="W278" s="36"/>
      <c r="X278" s="36"/>
      <c r="Y278" s="36"/>
      <c r="Z278" s="36"/>
      <c r="AA278" s="36"/>
      <c r="AB278" s="36"/>
      <c r="AC278" s="36"/>
      <c r="AD278" s="36"/>
      <c r="AE278" s="36"/>
      <c r="AF278" s="36"/>
      <c r="AG278" s="36"/>
      <c r="AH278" s="36"/>
      <c r="AI278" s="36"/>
      <c r="AJ278" s="36"/>
      <c r="AK278" s="36"/>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15.5" x14ac:dyDescent="0.3">
      <c r="B279" s="164" t="s">
        <v>336</v>
      </c>
      <c r="C279" s="34"/>
      <c r="D279" s="84"/>
      <c r="E279" s="34"/>
      <c r="G279" s="34"/>
      <c r="H279" s="84"/>
      <c r="J279" s="33"/>
      <c r="K279" s="38"/>
      <c r="L279" s="38"/>
      <c r="M279" s="38"/>
      <c r="N279" s="38"/>
      <c r="O279" s="260"/>
      <c r="Q279" s="35"/>
      <c r="R279" s="61"/>
      <c r="S279" s="36"/>
      <c r="T279" s="108"/>
      <c r="U279" s="36"/>
      <c r="V279" s="36"/>
      <c r="W279" s="36"/>
      <c r="X279" s="36"/>
      <c r="Y279" s="36"/>
      <c r="Z279" s="36"/>
      <c r="AA279" s="36"/>
      <c r="AB279" s="36"/>
      <c r="AC279" s="36"/>
      <c r="AD279" s="36"/>
      <c r="AE279" s="36"/>
      <c r="AF279" s="36"/>
      <c r="AG279" s="36"/>
      <c r="AH279" s="36"/>
      <c r="AI279" s="36"/>
      <c r="AJ279" s="36"/>
      <c r="AK279" s="36"/>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31" customFormat="1" ht="46.5" x14ac:dyDescent="0.3">
      <c r="B280" s="78" t="s">
        <v>725</v>
      </c>
      <c r="C280" s="395" t="s">
        <v>111</v>
      </c>
      <c r="D280" s="395"/>
      <c r="E280" s="34"/>
      <c r="G280" s="34"/>
      <c r="H280" s="84"/>
      <c r="J280" s="33"/>
      <c r="K280" s="38" t="s">
        <v>329</v>
      </c>
      <c r="L280" s="38" t="s">
        <v>201</v>
      </c>
      <c r="M280" s="38" t="s">
        <v>319</v>
      </c>
      <c r="N280" s="38"/>
      <c r="O280" s="260"/>
      <c r="Q280" s="35"/>
      <c r="R280" s="36" t="s">
        <v>350</v>
      </c>
      <c r="S280" s="36"/>
      <c r="T280" s="108"/>
      <c r="U280" s="36"/>
      <c r="V280" s="36"/>
      <c r="W280" s="36"/>
      <c r="X280" s="36"/>
      <c r="Y280" s="36"/>
      <c r="Z280" s="36"/>
      <c r="AA280" s="36"/>
      <c r="AB280" s="36"/>
      <c r="AC280" s="36"/>
      <c r="AD280" s="36"/>
      <c r="AE280" s="36"/>
      <c r="AF280" s="36"/>
      <c r="AG280" s="36"/>
      <c r="AH280" s="36"/>
      <c r="AI280" s="36"/>
      <c r="AJ280" s="36"/>
      <c r="AK280" s="36"/>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7" s="31" customFormat="1" ht="15.5" x14ac:dyDescent="0.3">
      <c r="B281" s="54" t="s">
        <v>363</v>
      </c>
      <c r="C281" s="160"/>
      <c r="D281" s="323" t="str">
        <f>IF(C280=Pudotusvalikot!$N$14,"Yksikkö",IF(C280=Pudotusvalikot!$N$15,Pudotusvalikot!$O$15,IF(C280=Pudotusvalikot!$N$16,Pudotusvalikot!$O$16,IF(C280=Pudotusvalikot!$N$17,Pudotusvalikot!$O$17,IF(C280=Pudotusvalikot!$N$18,Pudotusvalikot!$O$18,IF(C280=Pudotusvalikot!$N$19,Pudotusvalikot!$O$19,IF(C280=Pudotusvalikot!$N$20,Pudotusvalikot!$O$20,IF(C280=Pudotusvalikot!$N$21,Pudotusvalikot!$O$21,IF(C280=Pudotusvalikot!$N$22,Pudotusvalikot!$O$22,IF(C280=Pudotusvalikot!$N$23,Pudotusvalikot!$O$23,IF(C280=Pudotusvalikot!$N$24,Pudotusvalikot!$O$24,IF(C280=Pudotusvalikot!$N$25,Pudotusvalikot!$O$25,IF(C280=Pudotusvalikot!$N$26,Pudotusvalikot!$O$26,IF(C280=Pudotusvalikot!$N$27,Pudotusvalikot!$O$27,IF(C280=Pudotusvalikot!$N$28,Pudotusvalikot!$O$28,"Yksikkö")))))))))))))))</f>
        <v>Yksikkö</v>
      </c>
      <c r="E281" s="34"/>
      <c r="G281" s="34"/>
      <c r="H281" s="84"/>
      <c r="J281" s="33" t="s">
        <v>548</v>
      </c>
      <c r="K281" s="96" t="str">
        <f>IF(ISNUMBER(L281),L281,IF(C280=Pudotusvalikot!$N$14,"--",IF(C280=Pudotusvalikot!$N$15,Materiaalit!$G$117,IF(C280=Pudotusvalikot!$N$16,Materiaalit!$G$118,IF(C280=Pudotusvalikot!$N$17,Materiaalit!$G$119,IF(C280=Pudotusvalikot!$N$18,Materiaalit!$G$120,IF(C280=Pudotusvalikot!$N$19,Materiaalit!$G$121,IF(C280=Pudotusvalikot!$N$20,Materiaalit!$G$122,IF(C280=Pudotusvalikot!$N$21,Materiaalit!$G$123,IF(C280=Pudotusvalikot!$N$22,Materiaalit!$G$124,IF(C280=Pudotusvalikot!$N$23,Materiaalit!$G$125,IF(C280=Pudotusvalikot!$N$24,Materiaalit!$G$126,IF(C280=Pudotusvalikot!$N$25,Materiaalit!$G$127,IF(C280=Pudotusvalikot!$N$26,Materiaalit!$G$128,IF(C280=Pudotusvalikot!$N$27,Materiaalit!$G$129,IF(C280=Pudotusvalikot!$N$28,Materiaalit!$G$130,"Anna kerroin"))))))))))))))))</f>
        <v>--</v>
      </c>
      <c r="L281" s="40"/>
      <c r="M281" s="96" t="str">
        <f>IF(D281="Yksikkö","--","kgCO2e/" &amp;D281)</f>
        <v>--</v>
      </c>
      <c r="N281" s="42"/>
      <c r="O281" s="261"/>
      <c r="Q281" s="35"/>
      <c r="R281" s="50" t="str">
        <f>IF(NOT(AND(ISNUMBER(K281),ISNUMBER(C281))),"",C281*K281*IF(C280=Pudotusvalikot!$N$14,1,IF(C280=Pudotusvalikot!$N$15,Materiaalit!$K$117,IF(C280=Pudotusvalikot!$N$16,Materiaalit!$K$118,IF(C280=Pudotusvalikot!$N$17,Materiaalit!$K$119,IF(C280=Pudotusvalikot!$N$18,Materiaalit!$K$120,IF(C280=Pudotusvalikot!$N$19,Materiaalit!$K$121,IF(C280=Pudotusvalikot!$N$20,Materiaalit!$K$122,IF(C280=Pudotusvalikot!$N$21,Materiaalit!$K$123,IF(C280=Pudotusvalikot!$N$22,Materiaalit!$K$124,IF(C280=Pudotusvalikot!$N$23,Materiaalit!$K$125,IF(C280=Pudotusvalikot!$N$24,Materiaalit!$K$126,IF(C280=Pudotusvalikot!$N$25,Materiaalit!$K$127,IF(C280=Pudotusvalikot!$N$26,Materiaalit!$K$128,IF(C280=Pudotusvalikot!$N$27,Materiaalit!$K$129,Materiaalit!$K$130)))))))))))))))</f>
        <v/>
      </c>
      <c r="S281" s="102" t="s">
        <v>172</v>
      </c>
      <c r="T281" s="108"/>
      <c r="U281" s="36"/>
      <c r="V281" s="36"/>
      <c r="W281" s="36"/>
      <c r="X281" s="36"/>
      <c r="Y281" s="36"/>
      <c r="Z281" s="36"/>
      <c r="AA281" s="36"/>
      <c r="AB281" s="36"/>
      <c r="AC281" s="36"/>
      <c r="AD281" s="36"/>
      <c r="AE281" s="36"/>
      <c r="AF281" s="36"/>
      <c r="AG281" s="36"/>
      <c r="AH281" s="36"/>
      <c r="AI281" s="36"/>
      <c r="AJ281" s="36"/>
      <c r="AK281" s="36"/>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5" x14ac:dyDescent="0.3">
      <c r="B282" s="164" t="s">
        <v>337</v>
      </c>
      <c r="C282" s="34"/>
      <c r="D282" s="84"/>
      <c r="E282" s="34"/>
      <c r="G282" s="34"/>
      <c r="H282" s="84"/>
      <c r="J282" s="33"/>
      <c r="K282" s="38"/>
      <c r="L282" s="38"/>
      <c r="M282" s="38"/>
      <c r="N282" s="38"/>
      <c r="O282" s="260"/>
      <c r="Q282" s="35"/>
      <c r="R282" s="61"/>
      <c r="S282" s="36"/>
      <c r="T282" s="108"/>
      <c r="U282" s="36"/>
      <c r="V282" s="36"/>
      <c r="W282" s="36"/>
      <c r="X282" s="36"/>
      <c r="Y282" s="36"/>
      <c r="Z282" s="36"/>
      <c r="AA282" s="36"/>
      <c r="AB282" s="36"/>
      <c r="AC282" s="36"/>
      <c r="AD282" s="36"/>
      <c r="AE282" s="36"/>
      <c r="AF282" s="36"/>
      <c r="AG282" s="36"/>
      <c r="AH282" s="36"/>
      <c r="AI282" s="36"/>
      <c r="AJ282" s="36"/>
      <c r="AK282" s="36"/>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46.5" x14ac:dyDescent="0.3">
      <c r="B283" s="78" t="s">
        <v>725</v>
      </c>
      <c r="C283" s="395" t="s">
        <v>111</v>
      </c>
      <c r="D283" s="395"/>
      <c r="E283" s="34"/>
      <c r="G283" s="34"/>
      <c r="H283" s="84"/>
      <c r="J283" s="33"/>
      <c r="K283" s="38" t="s">
        <v>329</v>
      </c>
      <c r="L283" s="38" t="s">
        <v>201</v>
      </c>
      <c r="M283" s="38" t="s">
        <v>319</v>
      </c>
      <c r="N283" s="38"/>
      <c r="O283" s="260"/>
      <c r="Q283" s="35"/>
      <c r="R283" s="36" t="s">
        <v>350</v>
      </c>
      <c r="S283" s="36"/>
      <c r="T283" s="108"/>
      <c r="U283" s="36"/>
      <c r="V283" s="36"/>
      <c r="W283" s="36"/>
      <c r="X283" s="36"/>
      <c r="Y283" s="36"/>
      <c r="Z283" s="36"/>
      <c r="AA283" s="36"/>
      <c r="AB283" s="36"/>
      <c r="AC283" s="36"/>
      <c r="AD283" s="36"/>
      <c r="AE283" s="36"/>
      <c r="AF283" s="36"/>
      <c r="AG283" s="36"/>
      <c r="AH283" s="36"/>
      <c r="AI283" s="36"/>
      <c r="AJ283" s="36"/>
      <c r="AK283" s="36"/>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15.5" x14ac:dyDescent="0.3">
      <c r="B284" s="54" t="s">
        <v>363</v>
      </c>
      <c r="C284" s="160"/>
      <c r="D284" s="323" t="str">
        <f>IF(C283=Pudotusvalikot!$N$14,"Yksikkö",IF(C283=Pudotusvalikot!$N$15,Pudotusvalikot!$O$15,IF(C283=Pudotusvalikot!$N$16,Pudotusvalikot!$O$16,IF(C283=Pudotusvalikot!$N$17,Pudotusvalikot!$O$17,IF(C283=Pudotusvalikot!$N$18,Pudotusvalikot!$O$18,IF(C283=Pudotusvalikot!$N$19,Pudotusvalikot!$O$19,IF(C283=Pudotusvalikot!$N$20,Pudotusvalikot!$O$20,IF(C283=Pudotusvalikot!$N$21,Pudotusvalikot!$O$21,IF(C283=Pudotusvalikot!$N$22,Pudotusvalikot!$O$22,IF(C283=Pudotusvalikot!$N$23,Pudotusvalikot!$O$23,IF(C283=Pudotusvalikot!$N$24,Pudotusvalikot!$O$24,IF(C283=Pudotusvalikot!$N$25,Pudotusvalikot!$O$25,IF(C283=Pudotusvalikot!$N$26,Pudotusvalikot!$O$26,IF(C283=Pudotusvalikot!$N$27,Pudotusvalikot!$O$27,IF(C283=Pudotusvalikot!$N$28,Pudotusvalikot!$O$28,"Yksikkö")))))))))))))))</f>
        <v>Yksikkö</v>
      </c>
      <c r="E284" s="34"/>
      <c r="G284" s="34"/>
      <c r="H284" s="84"/>
      <c r="J284" s="33" t="s">
        <v>548</v>
      </c>
      <c r="K284" s="96" t="str">
        <f>IF(ISNUMBER(L284),L284,IF(C283=Pudotusvalikot!$N$14,"--",IF(C283=Pudotusvalikot!$N$15,Materiaalit!$G$117,IF(C283=Pudotusvalikot!$N$16,Materiaalit!$G$118,IF(C283=Pudotusvalikot!$N$17,Materiaalit!$G$119,IF(C283=Pudotusvalikot!$N$18,Materiaalit!$G$120,IF(C283=Pudotusvalikot!$N$19,Materiaalit!$G$121,IF(C283=Pudotusvalikot!$N$20,Materiaalit!$G$122,IF(C283=Pudotusvalikot!$N$21,Materiaalit!$G$123,IF(C283=Pudotusvalikot!$N$22,Materiaalit!$G$124,IF(C283=Pudotusvalikot!$N$23,Materiaalit!$G$125,IF(C283=Pudotusvalikot!$N$24,Materiaalit!$G$126,IF(C283=Pudotusvalikot!$N$25,Materiaalit!$G$127,IF(C283=Pudotusvalikot!$N$26,Materiaalit!$G$128,IF(C283=Pudotusvalikot!$N$27,Materiaalit!$G$129,IF(C283=Pudotusvalikot!$N$28,Materiaalit!$G$130,"Anna kerroin"))))))))))))))))</f>
        <v>--</v>
      </c>
      <c r="L284" s="40"/>
      <c r="M284" s="96" t="str">
        <f>IF(D284="Yksikkö","--","kgCO2e/" &amp;D284)</f>
        <v>--</v>
      </c>
      <c r="N284" s="42"/>
      <c r="O284" s="261"/>
      <c r="Q284" s="35"/>
      <c r="R284" s="50" t="str">
        <f>IF(NOT(AND(ISNUMBER(K284),ISNUMBER(C284))),"",C284*K284*IF(C283=Pudotusvalikot!$N$14,1,IF(C283=Pudotusvalikot!$N$15,Materiaalit!$K$117,IF(C283=Pudotusvalikot!$N$16,Materiaalit!$K$118,IF(C283=Pudotusvalikot!$N$17,Materiaalit!$K$119,IF(C283=Pudotusvalikot!$N$18,Materiaalit!$K$120,IF(C283=Pudotusvalikot!$N$19,Materiaalit!$K$121,IF(C283=Pudotusvalikot!$N$20,Materiaalit!$K$122,IF(C283=Pudotusvalikot!$N$21,Materiaalit!$K$123,IF(C283=Pudotusvalikot!$N$22,Materiaalit!$K$124,IF(C283=Pudotusvalikot!$N$23,Materiaalit!$K$125,IF(C283=Pudotusvalikot!$N$24,Materiaalit!$K$126,IF(C283=Pudotusvalikot!$N$25,Materiaalit!$K$127,IF(C283=Pudotusvalikot!$N$26,Materiaalit!$K$128,IF(C283=Pudotusvalikot!$N$27,Materiaalit!$K$129,Materiaalit!$K$130)))))))))))))))</f>
        <v/>
      </c>
      <c r="S284" s="102" t="s">
        <v>172</v>
      </c>
      <c r="T284" s="108"/>
      <c r="U284" s="36"/>
      <c r="V284" s="36"/>
      <c r="W284" s="36"/>
      <c r="X284" s="36"/>
      <c r="Y284" s="36"/>
      <c r="Z284" s="36"/>
      <c r="AA284" s="36"/>
      <c r="AB284" s="36"/>
      <c r="AC284" s="36"/>
      <c r="AD284" s="36"/>
      <c r="AE284" s="36"/>
      <c r="AF284" s="36"/>
      <c r="AG284" s="36"/>
      <c r="AH284" s="36"/>
      <c r="AI284" s="36"/>
      <c r="AJ284" s="36"/>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15.5" x14ac:dyDescent="0.3">
      <c r="B285" s="164" t="s">
        <v>338</v>
      </c>
      <c r="C285" s="34"/>
      <c r="D285" s="84"/>
      <c r="E285" s="34"/>
      <c r="G285" s="34"/>
      <c r="H285" s="84"/>
      <c r="J285" s="33"/>
      <c r="K285" s="38"/>
      <c r="L285" s="38"/>
      <c r="M285" s="38"/>
      <c r="N285" s="38"/>
      <c r="O285" s="260"/>
      <c r="Q285" s="35"/>
      <c r="R285" s="61"/>
      <c r="S285" s="36"/>
      <c r="T285" s="108"/>
      <c r="U285" s="36"/>
      <c r="V285" s="36"/>
      <c r="W285" s="36"/>
      <c r="X285" s="36"/>
      <c r="Y285" s="36"/>
      <c r="Z285" s="36"/>
      <c r="AA285" s="36"/>
      <c r="AB285" s="36"/>
      <c r="AC285" s="36"/>
      <c r="AD285" s="36"/>
      <c r="AE285" s="36"/>
      <c r="AF285" s="36"/>
      <c r="AG285" s="36"/>
      <c r="AH285" s="36"/>
      <c r="AI285" s="36"/>
      <c r="AJ285" s="36"/>
      <c r="AK285" s="36"/>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46.5" x14ac:dyDescent="0.3">
      <c r="B286" s="78" t="s">
        <v>725</v>
      </c>
      <c r="C286" s="395" t="s">
        <v>111</v>
      </c>
      <c r="D286" s="395"/>
      <c r="E286" s="34"/>
      <c r="G286" s="34"/>
      <c r="H286" s="84"/>
      <c r="J286" s="33"/>
      <c r="K286" s="38" t="s">
        <v>329</v>
      </c>
      <c r="L286" s="38" t="s">
        <v>201</v>
      </c>
      <c r="M286" s="38" t="s">
        <v>319</v>
      </c>
      <c r="N286" s="38"/>
      <c r="O286" s="260"/>
      <c r="Q286" s="35"/>
      <c r="R286" s="36" t="s">
        <v>350</v>
      </c>
      <c r="S286" s="36"/>
      <c r="T286" s="108"/>
      <c r="U286" s="36"/>
      <c r="V286" s="36"/>
      <c r="W286" s="36"/>
      <c r="X286" s="36"/>
      <c r="Y286" s="36"/>
      <c r="Z286" s="36"/>
      <c r="AA286" s="36"/>
      <c r="AB286" s="36"/>
      <c r="AC286" s="36"/>
      <c r="AD286" s="36"/>
      <c r="AE286" s="36"/>
      <c r="AF286" s="36"/>
      <c r="AG286" s="36"/>
      <c r="AH286" s="36"/>
      <c r="AI286" s="36"/>
      <c r="AJ286" s="36"/>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5" x14ac:dyDescent="0.3">
      <c r="B287" s="54" t="s">
        <v>363</v>
      </c>
      <c r="C287" s="160"/>
      <c r="D287" s="323" t="str">
        <f>IF(C286=Pudotusvalikot!$N$14,"Yksikkö",IF(C286=Pudotusvalikot!$N$15,Pudotusvalikot!$O$15,IF(C286=Pudotusvalikot!$N$16,Pudotusvalikot!$O$16,IF(C286=Pudotusvalikot!$N$17,Pudotusvalikot!$O$17,IF(C286=Pudotusvalikot!$N$18,Pudotusvalikot!$O$18,IF(C286=Pudotusvalikot!$N$19,Pudotusvalikot!$O$19,IF(C286=Pudotusvalikot!$N$20,Pudotusvalikot!$O$20,IF(C286=Pudotusvalikot!$N$21,Pudotusvalikot!$O$21,IF(C286=Pudotusvalikot!$N$22,Pudotusvalikot!$O$22,IF(C286=Pudotusvalikot!$N$23,Pudotusvalikot!$O$23,IF(C286=Pudotusvalikot!$N$24,Pudotusvalikot!$O$24,IF(C286=Pudotusvalikot!$N$25,Pudotusvalikot!$O$25,IF(C286=Pudotusvalikot!$N$26,Pudotusvalikot!$O$26,IF(C286=Pudotusvalikot!$N$27,Pudotusvalikot!$O$27,IF(C286=Pudotusvalikot!$N$28,Pudotusvalikot!$O$28,"Yksikkö")))))))))))))))</f>
        <v>Yksikkö</v>
      </c>
      <c r="E287" s="34"/>
      <c r="F287" s="34"/>
      <c r="G287" s="34"/>
      <c r="H287" s="84"/>
      <c r="J287" s="33" t="s">
        <v>548</v>
      </c>
      <c r="K287" s="96" t="str">
        <f>IF(ISNUMBER(L287),L287,IF(C286=Pudotusvalikot!$N$14,"--",IF(C286=Pudotusvalikot!$N$15,Materiaalit!$G$117,IF(C286=Pudotusvalikot!$N$16,Materiaalit!$G$118,IF(C286=Pudotusvalikot!$N$17,Materiaalit!$G$119,IF(C286=Pudotusvalikot!$N$18,Materiaalit!$G$120,IF(C286=Pudotusvalikot!$N$19,Materiaalit!$G$121,IF(C286=Pudotusvalikot!$N$20,Materiaalit!$G$122,IF(C286=Pudotusvalikot!$N$21,Materiaalit!$G$123,IF(C286=Pudotusvalikot!$N$22,Materiaalit!$G$124,IF(C286=Pudotusvalikot!$N$23,Materiaalit!$G$125,IF(C286=Pudotusvalikot!$N$24,Materiaalit!$G$126,IF(C286=Pudotusvalikot!$N$25,Materiaalit!$G$127,IF(C286=Pudotusvalikot!$N$26,Materiaalit!$G$128,IF(C286=Pudotusvalikot!$N$27,Materiaalit!$G$129,IF(C286=Pudotusvalikot!$N$28,Materiaalit!$G$130,"Anna kerroin"))))))))))))))))</f>
        <v>--</v>
      </c>
      <c r="L287" s="40"/>
      <c r="M287" s="96" t="str">
        <f>IF(D287="Yksikkö","--","kgCO2e/" &amp;D287)</f>
        <v>--</v>
      </c>
      <c r="N287" s="42"/>
      <c r="O287" s="261"/>
      <c r="Q287" s="35"/>
      <c r="R287" s="50" t="str">
        <f>IF(NOT(AND(ISNUMBER(K287),ISNUMBER(C287))),"",C287*K287*IF(C286=Pudotusvalikot!$N$14,1,IF(C286=Pudotusvalikot!$N$15,Materiaalit!$K$117,IF(C286=Pudotusvalikot!$N$16,Materiaalit!$K$118,IF(C286=Pudotusvalikot!$N$17,Materiaalit!$K$119,IF(C286=Pudotusvalikot!$N$18,Materiaalit!$K$120,IF(C286=Pudotusvalikot!$N$19,Materiaalit!$K$121,IF(C286=Pudotusvalikot!$N$20,Materiaalit!$K$122,IF(C286=Pudotusvalikot!$N$21,Materiaalit!$K$123,IF(C286=Pudotusvalikot!$N$22,Materiaalit!$K$124,IF(C286=Pudotusvalikot!$N$23,Materiaalit!$K$125,IF(C286=Pudotusvalikot!$N$24,Materiaalit!$K$126,IF(C286=Pudotusvalikot!$N$25,Materiaalit!$K$127,IF(C286=Pudotusvalikot!$N$26,Materiaalit!$K$128,IF(C286=Pudotusvalikot!$N$27,Materiaalit!$K$129,Materiaalit!$K$130)))))))))))))))</f>
        <v/>
      </c>
      <c r="S287" s="102" t="s">
        <v>172</v>
      </c>
      <c r="T287" s="108"/>
      <c r="U287" s="36"/>
      <c r="V287" s="36"/>
      <c r="W287" s="36"/>
      <c r="X287" s="36"/>
      <c r="Y287" s="36"/>
      <c r="Z287" s="36"/>
      <c r="AA287" s="36"/>
      <c r="AB287" s="36"/>
      <c r="AC287" s="36"/>
      <c r="AD287" s="36"/>
      <c r="AE287" s="36"/>
      <c r="AF287" s="36"/>
      <c r="AG287" s="36"/>
      <c r="AH287" s="36"/>
      <c r="AI287" s="36"/>
      <c r="AJ287" s="36"/>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15.5" x14ac:dyDescent="0.3">
      <c r="B288" s="164" t="s">
        <v>339</v>
      </c>
      <c r="C288" s="34"/>
      <c r="D288" s="84"/>
      <c r="E288" s="34"/>
      <c r="G288" s="34"/>
      <c r="H288" s="84"/>
      <c r="J288" s="33"/>
      <c r="K288" s="38"/>
      <c r="L288" s="38"/>
      <c r="M288" s="38"/>
      <c r="N288" s="38"/>
      <c r="O288" s="260"/>
      <c r="Q288" s="35"/>
      <c r="R288" s="61"/>
      <c r="S288" s="36"/>
      <c r="T288" s="108"/>
      <c r="U288" s="36"/>
      <c r="V288" s="36"/>
      <c r="W288" s="36"/>
      <c r="X288" s="36"/>
      <c r="Y288" s="36"/>
      <c r="Z288" s="36"/>
      <c r="AA288" s="36"/>
      <c r="AB288" s="36"/>
      <c r="AC288" s="36"/>
      <c r="AD288" s="36"/>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9" s="31" customFormat="1" ht="46.5" x14ac:dyDescent="0.3">
      <c r="B289" s="78" t="s">
        <v>725</v>
      </c>
      <c r="C289" s="395" t="s">
        <v>111</v>
      </c>
      <c r="D289" s="395"/>
      <c r="E289" s="34"/>
      <c r="G289" s="34"/>
      <c r="H289" s="84"/>
      <c r="J289" s="33"/>
      <c r="K289" s="38" t="s">
        <v>329</v>
      </c>
      <c r="L289" s="38" t="s">
        <v>201</v>
      </c>
      <c r="M289" s="38" t="s">
        <v>319</v>
      </c>
      <c r="N289" s="38"/>
      <c r="O289" s="260"/>
      <c r="Q289" s="35"/>
      <c r="R289" s="36" t="s">
        <v>350</v>
      </c>
      <c r="S289" s="36"/>
      <c r="T289" s="108"/>
      <c r="U289" s="36"/>
      <c r="V289" s="36"/>
      <c r="W289" s="36"/>
      <c r="X289" s="36"/>
      <c r="Y289" s="36"/>
      <c r="Z289" s="36"/>
      <c r="AA289" s="36"/>
      <c r="AB289" s="36"/>
      <c r="AC289" s="36"/>
      <c r="AD289" s="36"/>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9" s="31" customFormat="1" ht="15.5" x14ac:dyDescent="0.3">
      <c r="B290" s="54" t="s">
        <v>363</v>
      </c>
      <c r="C290" s="160"/>
      <c r="D290" s="323" t="str">
        <f>IF(C289=Pudotusvalikot!$N$14,"Yksikkö",IF(C289=Pudotusvalikot!$N$15,Pudotusvalikot!$O$15,IF(C289=Pudotusvalikot!$N$16,Pudotusvalikot!$O$16,IF(C289=Pudotusvalikot!$N$17,Pudotusvalikot!$O$17,IF(C289=Pudotusvalikot!$N$18,Pudotusvalikot!$O$18,IF(C289=Pudotusvalikot!$N$19,Pudotusvalikot!$O$19,IF(C289=Pudotusvalikot!$N$20,Pudotusvalikot!$O$20,IF(C289=Pudotusvalikot!$N$21,Pudotusvalikot!$O$21,IF(C289=Pudotusvalikot!$N$22,Pudotusvalikot!$O$22,IF(C289=Pudotusvalikot!$N$23,Pudotusvalikot!$O$23,IF(C289=Pudotusvalikot!$N$24,Pudotusvalikot!$O$24,IF(C289=Pudotusvalikot!$N$25,Pudotusvalikot!$O$25,IF(C289=Pudotusvalikot!$N$26,Pudotusvalikot!$O$26,IF(C289=Pudotusvalikot!$N$27,Pudotusvalikot!$O$27,IF(C289=Pudotusvalikot!$N$28,Pudotusvalikot!$O$28,"Yksikkö")))))))))))))))</f>
        <v>Yksikkö</v>
      </c>
      <c r="E290" s="34"/>
      <c r="G290" s="34"/>
      <c r="H290" s="84"/>
      <c r="J290" s="33" t="s">
        <v>548</v>
      </c>
      <c r="K290" s="96" t="str">
        <f>IF(ISNUMBER(L290),L290,IF(C289=Pudotusvalikot!$N$14,"--",IF(C289=Pudotusvalikot!$N$15,Materiaalit!$G$117,IF(C289=Pudotusvalikot!$N$16,Materiaalit!$G$118,IF(C289=Pudotusvalikot!$N$17,Materiaalit!$G$119,IF(C289=Pudotusvalikot!$N$18,Materiaalit!$G$120,IF(C289=Pudotusvalikot!$N$19,Materiaalit!$G$121,IF(C289=Pudotusvalikot!$N$20,Materiaalit!$G$122,IF(C289=Pudotusvalikot!$N$21,Materiaalit!$G$123,IF(C289=Pudotusvalikot!$N$22,Materiaalit!$G$124,IF(C289=Pudotusvalikot!$N$23,Materiaalit!$G$125,IF(C289=Pudotusvalikot!$N$24,Materiaalit!$G$126,IF(C289=Pudotusvalikot!$N$25,Materiaalit!$G$127,IF(C289=Pudotusvalikot!$N$26,Materiaalit!$G$128,IF(C289=Pudotusvalikot!$N$27,Materiaalit!$G$129,IF(C289=Pudotusvalikot!$N$28,Materiaalit!$G$130,"Anna kerroin"))))))))))))))))</f>
        <v>--</v>
      </c>
      <c r="L290" s="40"/>
      <c r="M290" s="96" t="str">
        <f>IF(D290="Yksikkö","--","kgCO2e/" &amp;D290)</f>
        <v>--</v>
      </c>
      <c r="N290" s="42"/>
      <c r="O290" s="261"/>
      <c r="Q290" s="35"/>
      <c r="R290" s="50" t="str">
        <f>IF(NOT(AND(ISNUMBER(K290),ISNUMBER(C290))),"",C290*K290*IF(C289=Pudotusvalikot!$N$14,1,IF(C289=Pudotusvalikot!$N$15,Materiaalit!$K$117,IF(C289=Pudotusvalikot!$N$16,Materiaalit!$K$118,IF(C289=Pudotusvalikot!$N$17,Materiaalit!$K$119,IF(C289=Pudotusvalikot!$N$18,Materiaalit!$K$120,IF(C289=Pudotusvalikot!$N$19,Materiaalit!$K$121,IF(C289=Pudotusvalikot!$N$20,Materiaalit!$K$122,IF(C289=Pudotusvalikot!$N$21,Materiaalit!$K$123,IF(C289=Pudotusvalikot!$N$22,Materiaalit!$K$124,IF(C289=Pudotusvalikot!$N$23,Materiaalit!$K$125,IF(C289=Pudotusvalikot!$N$24,Materiaalit!$K$126,IF(C289=Pudotusvalikot!$N$25,Materiaalit!$K$127,IF(C289=Pudotusvalikot!$N$26,Materiaalit!$K$128,IF(C289=Pudotusvalikot!$N$27,Materiaalit!$K$129,Materiaalit!$K$130)))))))))))))))</f>
        <v/>
      </c>
      <c r="S290" s="102" t="s">
        <v>172</v>
      </c>
      <c r="T290" s="108"/>
      <c r="U290" s="36"/>
      <c r="V290" s="36"/>
      <c r="W290" s="36"/>
      <c r="X290" s="36"/>
      <c r="Y290" s="36"/>
      <c r="Z290" s="36"/>
      <c r="AA290" s="36"/>
      <c r="AB290" s="36"/>
      <c r="AC290" s="36"/>
      <c r="AD290" s="36"/>
      <c r="AE290" s="36"/>
      <c r="AF290" s="36"/>
      <c r="AG290" s="36"/>
      <c r="AH290" s="36"/>
      <c r="AI290" s="36"/>
      <c r="AJ290" s="36"/>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9" s="31" customFormat="1" ht="15.5" x14ac:dyDescent="0.3">
      <c r="C291" s="34"/>
      <c r="D291" s="84"/>
      <c r="G291" s="34"/>
      <c r="H291" s="84"/>
      <c r="J291" s="33"/>
      <c r="K291" s="34"/>
      <c r="L291" s="34"/>
      <c r="M291" s="84"/>
      <c r="N291" s="84"/>
      <c r="O291" s="255"/>
      <c r="Q291" s="35"/>
      <c r="R291" s="99"/>
      <c r="S291" s="36"/>
      <c r="T291" s="36"/>
      <c r="U291" s="36"/>
      <c r="V291" s="36"/>
      <c r="W291" s="36"/>
      <c r="X291" s="36"/>
      <c r="Y291" s="36"/>
      <c r="Z291" s="36"/>
      <c r="AA291" s="36"/>
      <c r="AB291" s="36"/>
      <c r="AC291" s="36"/>
      <c r="AD291" s="36"/>
      <c r="AE291" s="36"/>
      <c r="AF291" s="36"/>
      <c r="AG291" s="36"/>
      <c r="AH291" s="36"/>
      <c r="AI291" s="36"/>
      <c r="AJ291" s="36"/>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9" s="298" customFormat="1" ht="18" x14ac:dyDescent="0.3">
      <c r="B292" s="295" t="s">
        <v>739</v>
      </c>
      <c r="C292" s="296"/>
      <c r="D292" s="297"/>
      <c r="G292" s="296"/>
      <c r="H292" s="297"/>
      <c r="K292" s="299"/>
      <c r="L292" s="299"/>
      <c r="M292" s="297"/>
      <c r="N292" s="297"/>
      <c r="O292" s="300"/>
      <c r="Q292" s="301"/>
      <c r="R292" s="302"/>
      <c r="S292" s="303"/>
      <c r="T292" s="303"/>
      <c r="U292" s="303"/>
      <c r="V292" s="303"/>
      <c r="W292" s="303"/>
      <c r="X292" s="303"/>
      <c r="Y292" s="303"/>
      <c r="Z292" s="303"/>
      <c r="AA292" s="303"/>
      <c r="AB292" s="303"/>
      <c r="AC292" s="303"/>
      <c r="AD292" s="303"/>
      <c r="AE292" s="303"/>
      <c r="AF292" s="303"/>
      <c r="AG292" s="303"/>
      <c r="AH292" s="303"/>
      <c r="AI292" s="303"/>
      <c r="AJ292" s="303"/>
      <c r="AK292" s="303"/>
      <c r="AL292" s="303"/>
      <c r="AM292" s="303"/>
      <c r="AN292" s="304"/>
      <c r="AO292" s="304"/>
      <c r="AP292" s="304"/>
      <c r="AQ292" s="304"/>
      <c r="AR292" s="304"/>
      <c r="AS292" s="304"/>
      <c r="AT292" s="304"/>
      <c r="AU292" s="304"/>
      <c r="AV292" s="304"/>
      <c r="AW292" s="304"/>
      <c r="AX292" s="304"/>
      <c r="AY292" s="304"/>
      <c r="AZ292" s="304"/>
      <c r="BA292" s="304"/>
      <c r="BB292" s="304"/>
      <c r="BC292" s="304"/>
      <c r="BD292" s="304"/>
      <c r="BE292" s="304"/>
    </row>
    <row r="293" spans="2:59" s="31" customFormat="1" ht="15.5" x14ac:dyDescent="0.3">
      <c r="B293" s="9"/>
      <c r="C293" s="34"/>
      <c r="D293" s="84"/>
      <c r="G293" s="34"/>
      <c r="H293" s="84"/>
      <c r="J293" s="33"/>
      <c r="K293" s="34"/>
      <c r="L293" s="34"/>
      <c r="M293" s="84"/>
      <c r="N293" s="84"/>
      <c r="O293" s="255" t="s">
        <v>644</v>
      </c>
      <c r="P293" s="69"/>
      <c r="Q293" s="108"/>
      <c r="R293" s="99"/>
      <c r="S293" s="137"/>
      <c r="T293" s="37"/>
      <c r="U293" s="36"/>
      <c r="V293" s="36"/>
      <c r="W293" s="36"/>
      <c r="X293" s="36"/>
      <c r="Y293" s="36"/>
      <c r="Z293" s="36"/>
      <c r="AA293" s="36"/>
      <c r="AB293" s="36"/>
      <c r="AC293" s="36"/>
      <c r="AD293" s="36"/>
      <c r="AE293" s="36"/>
      <c r="AF293" s="36"/>
      <c r="AG293" s="36"/>
      <c r="AH293" s="36"/>
      <c r="AI293" s="36"/>
      <c r="AJ293" s="36"/>
      <c r="AK293" s="36"/>
      <c r="AL293" s="36"/>
      <c r="AM293" s="36"/>
      <c r="AN293" s="36"/>
      <c r="AO293" s="36"/>
      <c r="AP293" s="37"/>
      <c r="AQ293" s="37"/>
      <c r="AR293" s="37"/>
      <c r="AS293" s="37"/>
      <c r="AT293" s="37"/>
      <c r="AU293" s="37"/>
      <c r="AV293" s="37"/>
      <c r="AW293" s="37"/>
      <c r="AX293" s="37"/>
      <c r="AY293" s="37"/>
      <c r="AZ293" s="37"/>
      <c r="BA293" s="37"/>
      <c r="BB293" s="37"/>
      <c r="BC293" s="37"/>
      <c r="BD293" s="37"/>
      <c r="BE293" s="37"/>
      <c r="BF293" s="37"/>
      <c r="BG293" s="37"/>
    </row>
    <row r="294" spans="2:59" s="31" customFormat="1" ht="45.75" customHeight="1" x14ac:dyDescent="0.3">
      <c r="B294" s="398" t="s">
        <v>568</v>
      </c>
      <c r="C294" s="398"/>
      <c r="D294" s="398"/>
      <c r="E294" s="398"/>
      <c r="F294" s="398"/>
      <c r="G294" s="398"/>
      <c r="H294" s="398"/>
      <c r="J294" s="33"/>
      <c r="K294" s="42"/>
      <c r="L294" s="42"/>
      <c r="M294" s="41"/>
      <c r="N294" s="41"/>
      <c r="O294" s="256"/>
      <c r="Q294" s="35"/>
      <c r="R294" s="61"/>
      <c r="S294" s="102"/>
      <c r="T294" s="36"/>
      <c r="U294" s="36"/>
      <c r="V294" s="36"/>
      <c r="W294" s="36"/>
      <c r="X294" s="36"/>
      <c r="Y294" s="36"/>
      <c r="Z294" s="36"/>
      <c r="AA294" s="36"/>
      <c r="AB294" s="108"/>
      <c r="AC294" s="36"/>
      <c r="AD294" s="36"/>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9" s="31" customFormat="1" ht="60.75" customHeight="1" x14ac:dyDescent="0.3">
      <c r="B295" s="398" t="s">
        <v>729</v>
      </c>
      <c r="C295" s="398"/>
      <c r="D295" s="398"/>
      <c r="E295" s="398"/>
      <c r="F295" s="398"/>
      <c r="G295" s="398"/>
      <c r="H295" s="398"/>
      <c r="J295" s="33"/>
      <c r="K295" s="42"/>
      <c r="L295" s="42"/>
      <c r="M295" s="41"/>
      <c r="N295" s="41"/>
      <c r="O295" s="256"/>
      <c r="Q295" s="35"/>
      <c r="R295" s="61"/>
      <c r="S295" s="102"/>
      <c r="T295" s="36"/>
      <c r="U295" s="36"/>
      <c r="V295" s="36"/>
      <c r="W295" s="36"/>
      <c r="X295" s="36"/>
      <c r="Y295" s="36"/>
      <c r="Z295" s="36"/>
      <c r="AA295" s="36"/>
      <c r="AB295" s="108"/>
      <c r="AC295" s="36"/>
      <c r="AD295" s="36"/>
      <c r="AE295" s="36"/>
      <c r="AF295" s="36"/>
      <c r="AG295" s="36"/>
      <c r="AH295" s="36"/>
      <c r="AI295" s="36"/>
      <c r="AJ295" s="36"/>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9" s="31" customFormat="1" ht="15.5" x14ac:dyDescent="0.3">
      <c r="B296" s="9"/>
      <c r="C296" s="34"/>
      <c r="D296" s="84"/>
      <c r="G296" s="34"/>
      <c r="H296" s="84"/>
      <c r="J296" s="33"/>
      <c r="K296" s="34"/>
      <c r="L296" s="34"/>
      <c r="M296" s="84"/>
      <c r="N296" s="84"/>
      <c r="O296" s="257"/>
      <c r="Q296" s="35"/>
      <c r="R296" s="99"/>
      <c r="S296" s="137"/>
      <c r="T296" s="37"/>
      <c r="U296" s="36"/>
      <c r="V296" s="36"/>
      <c r="W296" s="36"/>
      <c r="X296" s="36"/>
      <c r="Y296" s="36"/>
      <c r="Z296" s="36"/>
      <c r="AA296" s="36"/>
      <c r="AB296" s="36"/>
      <c r="AC296" s="36"/>
      <c r="AD296" s="36"/>
      <c r="AE296" s="36"/>
      <c r="AF296" s="36"/>
      <c r="AG296" s="36"/>
      <c r="AH296" s="36"/>
      <c r="AI296" s="36"/>
      <c r="AJ296" s="36"/>
      <c r="AK296" s="36"/>
      <c r="AL296" s="36"/>
      <c r="AM296" s="36"/>
      <c r="AN296" s="36"/>
      <c r="AO296" s="36"/>
      <c r="AP296" s="37"/>
      <c r="AQ296" s="37"/>
      <c r="AR296" s="37"/>
      <c r="AS296" s="37"/>
      <c r="AT296" s="37"/>
      <c r="AU296" s="37"/>
      <c r="AV296" s="37"/>
      <c r="AW296" s="37"/>
      <c r="AX296" s="37"/>
      <c r="AY296" s="37"/>
      <c r="AZ296" s="37"/>
      <c r="BA296" s="37"/>
      <c r="BB296" s="37"/>
      <c r="BC296" s="37"/>
      <c r="BD296" s="37"/>
      <c r="BE296" s="37"/>
      <c r="BF296" s="37"/>
      <c r="BG296" s="37"/>
    </row>
    <row r="297" spans="2:59" s="31" customFormat="1" ht="15.5" x14ac:dyDescent="0.3">
      <c r="B297" s="9" t="str">
        <f>B276</f>
        <v>Kemikaali-, tuote- tai materiaalilaji 1</v>
      </c>
      <c r="C297" s="34"/>
      <c r="D297" s="84"/>
      <c r="G297" s="34"/>
      <c r="H297" s="84"/>
      <c r="J297" s="33"/>
      <c r="K297" s="34"/>
      <c r="L297" s="34"/>
      <c r="M297" s="84"/>
      <c r="N297" s="84"/>
      <c r="O297" s="257"/>
      <c r="Q297" s="35"/>
      <c r="R297" s="36" t="s">
        <v>350</v>
      </c>
      <c r="S297" s="36"/>
      <c r="T297" s="36"/>
      <c r="U297" s="36"/>
      <c r="V297" s="36"/>
      <c r="W297" s="36"/>
      <c r="X297" s="36"/>
      <c r="Y297" s="36"/>
      <c r="Z297" s="36"/>
      <c r="AA297" s="36"/>
      <c r="AB297" s="108"/>
      <c r="AC297" s="36"/>
      <c r="AD297" s="36"/>
      <c r="AE297" s="36"/>
      <c r="AF297" s="36"/>
      <c r="AG297" s="36"/>
      <c r="AH297" s="36"/>
      <c r="AI297" s="36"/>
      <c r="AJ297" s="36"/>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9" s="31" customFormat="1" ht="15.5" x14ac:dyDescent="0.3">
      <c r="B298" s="54" t="s">
        <v>375</v>
      </c>
      <c r="C298" s="160"/>
      <c r="D298" s="84" t="s">
        <v>281</v>
      </c>
      <c r="G298" s="34" t="s">
        <v>340</v>
      </c>
      <c r="H298" s="84"/>
      <c r="J298" s="33"/>
      <c r="K298" s="38" t="s">
        <v>329</v>
      </c>
      <c r="L298" s="38" t="s">
        <v>201</v>
      </c>
      <c r="M298" s="84"/>
      <c r="N298" s="84"/>
      <c r="O298" s="257"/>
      <c r="Q298" s="35"/>
      <c r="R298" s="50" t="str">
        <f>IF(AND(ISNUMBER(G299),ISNUMBER(C298)),SUM(R299,R302:R304),"")</f>
        <v/>
      </c>
      <c r="S298" s="102" t="s">
        <v>172</v>
      </c>
      <c r="T298" s="36"/>
      <c r="U298" s="36"/>
      <c r="V298" s="36"/>
      <c r="W298" s="36"/>
      <c r="X298" s="36"/>
      <c r="Y298" s="36"/>
      <c r="Z298" s="36"/>
      <c r="AA298" s="36"/>
      <c r="AB298" s="108"/>
      <c r="AC298" s="36"/>
      <c r="AD298" s="36"/>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9" s="31" customFormat="1" ht="46.5" x14ac:dyDescent="0.3">
      <c r="B299" s="155" t="s">
        <v>727</v>
      </c>
      <c r="C299" s="396" t="s">
        <v>283</v>
      </c>
      <c r="D299" s="397"/>
      <c r="G299" s="156"/>
      <c r="H299" s="84" t="s">
        <v>5</v>
      </c>
      <c r="J299" s="173" t="s">
        <v>441</v>
      </c>
      <c r="K299" s="96">
        <f>IF(ISNUMBER(L299),L299,IF(C299=Pudotusvalikot!$N$4,Kalusto!$G$105,IF(C299=Pudotusvalikot!$N$5,Kalusto!$G$106,IF(C299=Pudotusvalikot!$N$6,Kalusto!$G$107,IF(C299=Pudotusvalikot!$N$7,Kalusto!$G$108,Kalusto!$G$105))))*IF(OR(C301=Pudotusvalikot!$V$3,C301=Pudotusvalikot!$V$4),Muut!$E$38,IF(C301=Pudotusvalikot!$V$5,Muut!$E$39,IF(C301=Pudotusvalikot!$V$6,Muut!$E$40,Muut!$E$41))))</f>
        <v>4.9950000000000001E-2</v>
      </c>
      <c r="L299" s="40"/>
      <c r="M299" s="41" t="s">
        <v>200</v>
      </c>
      <c r="N299" s="41"/>
      <c r="O299" s="256"/>
      <c r="Q299" s="35"/>
      <c r="R299" s="50" t="str">
        <f>IF(ISNUMBER(Y300*X300*K299),Y300*X300*K299,"")</f>
        <v/>
      </c>
      <c r="S299" s="102" t="s">
        <v>172</v>
      </c>
      <c r="T299" s="36" t="s">
        <v>446</v>
      </c>
      <c r="U299" s="36" t="s">
        <v>384</v>
      </c>
      <c r="V299" s="36" t="s">
        <v>443</v>
      </c>
      <c r="W299" s="36" t="s">
        <v>444</v>
      </c>
      <c r="X299" s="36" t="s">
        <v>447</v>
      </c>
      <c r="Y299" s="36" t="s">
        <v>449</v>
      </c>
      <c r="Z299" s="36" t="s">
        <v>374</v>
      </c>
      <c r="AA299" s="36"/>
      <c r="AB299" s="108"/>
      <c r="AC299" s="36"/>
      <c r="AD299" s="36"/>
      <c r="AE299" s="36"/>
      <c r="AF299" s="36"/>
      <c r="AG299" s="36"/>
      <c r="AH299" s="36"/>
      <c r="AI299" s="36"/>
      <c r="AJ299" s="36"/>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9" s="31" customFormat="1" ht="31" x14ac:dyDescent="0.3">
      <c r="B300" s="78" t="s">
        <v>530</v>
      </c>
      <c r="C300" s="392" t="s">
        <v>93</v>
      </c>
      <c r="D300" s="393"/>
      <c r="E300" s="393"/>
      <c r="F300" s="393"/>
      <c r="G300" s="394"/>
      <c r="J300" s="33"/>
      <c r="K300" s="38" t="s">
        <v>329</v>
      </c>
      <c r="L300" s="38" t="s">
        <v>201</v>
      </c>
      <c r="M300" s="41"/>
      <c r="N300" s="41"/>
      <c r="O300" s="256"/>
      <c r="Q300" s="47"/>
      <c r="R300" s="108"/>
      <c r="S300" s="36"/>
      <c r="T300" s="48" t="str">
        <f>IF(ISNUMBER(L299),"Kohdetieto",IF(OR(C300=Pudotusvalikot!$D$14,C300=Pudotusvalikot!$D$15),Kalusto!$I$96,VLOOKUP(C300,Kalusto!$C$44:$L$83,7,FALSE)))</f>
        <v>Puoliperävaunu</v>
      </c>
      <c r="U300" s="48">
        <f>IF(ISNUMBER(L299),"Kohdetieto",IF(OR(C300=Pudotusvalikot!$D$14,C300=Pudotusvalikot!$D$15),Kalusto!$J$96,VLOOKUP(C300,Kalusto!$C$44:$L$83,8,FALSE)))</f>
        <v>40</v>
      </c>
      <c r="V300" s="49">
        <f>IF(ISNUMBER(L299),"Kohdetieto",IF(OR(C300=Pudotusvalikot!$D$14,C300=Pudotusvalikot!$D$15),Kalusto!$K$96,VLOOKUP(C300,Kalusto!$C$44:$L$83,9,FALSE)))</f>
        <v>0.8</v>
      </c>
      <c r="W300" s="49" t="str">
        <f>IF(ISNUMBER(L299),"Kohdetieto",IF(OR(C300=Pudotusvalikot!$D$14,C300=Pudotusvalikot!$D$15),Kalusto!$L$96,VLOOKUP(C300,Kalusto!$C$44:$L$83,10,FALSE)))</f>
        <v>maantieajo</v>
      </c>
      <c r="X300" s="50" t="str">
        <f>IF(ISBLANK(C298),"",C298/1000)</f>
        <v/>
      </c>
      <c r="Y300" s="48" t="str">
        <f>IF(ISNUMBER(G299),G299,"")</f>
        <v/>
      </c>
      <c r="Z300" s="51">
        <f>IF(ISNUMBER(L299),L299,K299)</f>
        <v>4.9950000000000001E-2</v>
      </c>
      <c r="AA300" s="36"/>
      <c r="AB300" s="108"/>
      <c r="AC300" s="36"/>
      <c r="AD300" s="36"/>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9" s="31" customFormat="1" ht="15.5" x14ac:dyDescent="0.3">
      <c r="B301" s="78" t="s">
        <v>506</v>
      </c>
      <c r="C301" s="160" t="s">
        <v>242</v>
      </c>
      <c r="D301" s="34"/>
      <c r="E301" s="34"/>
      <c r="F301" s="34"/>
      <c r="G301" s="34"/>
      <c r="H301" s="59"/>
      <c r="J301" s="173"/>
      <c r="K301" s="173"/>
      <c r="L301" s="173"/>
      <c r="M301" s="41"/>
      <c r="N301" s="41"/>
      <c r="O301" s="256"/>
      <c r="Q301" s="47"/>
      <c r="R301" s="36"/>
      <c r="S301" s="36"/>
      <c r="T301" s="36"/>
      <c r="U301" s="36"/>
      <c r="V301" s="181"/>
      <c r="W301" s="181"/>
      <c r="X301" s="61"/>
      <c r="Y301" s="36"/>
      <c r="Z301" s="61"/>
      <c r="AA301" s="182"/>
      <c r="AB301" s="61"/>
      <c r="AC301" s="61"/>
      <c r="AD301" s="61"/>
      <c r="AE301" s="61"/>
      <c r="AF301" s="182"/>
      <c r="AG301" s="61"/>
      <c r="AH301" s="36"/>
      <c r="AI301" s="36"/>
      <c r="AJ301" s="36"/>
      <c r="AK301" s="108"/>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9" s="31" customFormat="1" ht="15.5" x14ac:dyDescent="0.3">
      <c r="B302" s="155" t="s">
        <v>542</v>
      </c>
      <c r="C302" s="395" t="s">
        <v>283</v>
      </c>
      <c r="D302" s="395"/>
      <c r="E302" s="169"/>
      <c r="G302" s="156"/>
      <c r="H302" s="84" t="s">
        <v>5</v>
      </c>
      <c r="J302" s="33" t="str">
        <f>IF(C302="Kuljetus","Ei oletusta","Oletus (" &amp; IF(C302="Tiekuljetus",Kalusto!$C$105,IF(C302="Raidekuljetus",Kalusto!$C$106,IF(C302="Laivarahti",Kalusto!$C$107,Kalusto!$C$108))) &amp; ")" )</f>
        <v>Oletus (Puoliperävaunuyhdistelmä, 40 t, 100 % kuorma, maantieajo)</v>
      </c>
      <c r="K302" s="96">
        <f>IF(ISNUMBER(L302),L302,IF(C302=Pudotusvalikot!$N$4,Kalusto!$G$105,IF(C302=Pudotusvalikot!$N$5,Kalusto!$G$106,IF(C302=Pudotusvalikot!$N$6,Kalusto!$G$107,IF(C302=Pudotusvalikot!$N$7,Kalusto!$G$108,Kalusto!$G$105)))))</f>
        <v>4.9950000000000001E-2</v>
      </c>
      <c r="L302" s="40"/>
      <c r="M302" s="41" t="s">
        <v>200</v>
      </c>
      <c r="N302" s="41"/>
      <c r="O302" s="256"/>
      <c r="Q302" s="35"/>
      <c r="R302" s="50" t="str">
        <f>IF(AND(ISNUMBER(G299)*ISNUMBER(C298)),K302*G302*C298,"")</f>
        <v/>
      </c>
      <c r="S302" s="102" t="s">
        <v>172</v>
      </c>
      <c r="T302" s="36"/>
      <c r="U302" s="36"/>
      <c r="V302" s="36"/>
      <c r="W302" s="36"/>
      <c r="X302" s="36"/>
      <c r="Y302" s="36"/>
      <c r="Z302" s="36"/>
      <c r="AA302" s="36"/>
      <c r="AB302" s="108"/>
      <c r="AC302" s="36"/>
      <c r="AD302" s="36"/>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9" s="31" customFormat="1" ht="15.5" x14ac:dyDescent="0.3">
      <c r="B303" s="155" t="s">
        <v>542</v>
      </c>
      <c r="C303" s="395" t="s">
        <v>284</v>
      </c>
      <c r="D303" s="395"/>
      <c r="E303" s="169"/>
      <c r="G303" s="156"/>
      <c r="H303" s="84" t="s">
        <v>5</v>
      </c>
      <c r="J303" s="33" t="str">
        <f>IF(C303="Kuljetus","Ei oletusta","Oletus (" &amp; IF(C303="Tiekuljetus",Kalusto!$C$105,IF(C303="Raidekuljetus",Kalusto!$C$106,IF(C303="Laivarahti",Kalusto!$C$107,Kalusto!$C$108))) &amp; ")" )</f>
        <v>Oletus (Merikuljetus, konttilaiva, 1000 TEU)</v>
      </c>
      <c r="K303" s="96">
        <f>IF(ISNUMBER(L303),L303,IF(C303=Pudotusvalikot!$N$4,Kalusto!$G$105,IF(C303=Pudotusvalikot!$N$5,Kalusto!$G$106,IF(C303=Pudotusvalikot!$N$6,Kalusto!$G$107,IF(C303=Pudotusvalikot!$N$7,Kalusto!$G$108,"--")))))</f>
        <v>4.4999999999999998E-2</v>
      </c>
      <c r="L303" s="40"/>
      <c r="M303" s="41" t="s">
        <v>200</v>
      </c>
      <c r="N303" s="41"/>
      <c r="O303" s="256"/>
      <c r="Q303" s="35"/>
      <c r="R303" s="50" t="str">
        <f>IF(AND(ISNUMBER(G299)*ISNUMBER(C298)),K303*G303*C298,"")</f>
        <v/>
      </c>
      <c r="S303" s="102" t="s">
        <v>172</v>
      </c>
      <c r="T303" s="36"/>
      <c r="U303" s="36"/>
      <c r="V303" s="36"/>
      <c r="W303" s="36"/>
      <c r="X303" s="36"/>
      <c r="Y303" s="36"/>
      <c r="Z303" s="36"/>
      <c r="AA303" s="36"/>
      <c r="AB303" s="108"/>
      <c r="AC303" s="36"/>
      <c r="AD303" s="36"/>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9" s="31" customFormat="1" ht="15.5" x14ac:dyDescent="0.3">
      <c r="B304" s="155" t="s">
        <v>542</v>
      </c>
      <c r="C304" s="395" t="s">
        <v>283</v>
      </c>
      <c r="D304" s="395"/>
      <c r="E304" s="169"/>
      <c r="G304" s="156"/>
      <c r="H304" s="84" t="s">
        <v>5</v>
      </c>
      <c r="J304" s="33" t="str">
        <f>IF(C304="Kuljetus","Ei oletusta","Oletus (" &amp; IF(C304="Tiekuljetus",Kalusto!$C$105,IF(C304="Raidekuljetus",Kalusto!$C$106,IF(C304="Laivarahti",Kalusto!$C$107,Kalusto!$C$108))) &amp; ")" )</f>
        <v>Oletus (Puoliperävaunuyhdistelmä, 40 t, 100 % kuorma, maantieajo)</v>
      </c>
      <c r="K304" s="96">
        <f>IF(ISNUMBER(L304),L304,IF(C304=Pudotusvalikot!$N$4,Kalusto!$G$105,IF(C304=Pudotusvalikot!$N$5,Kalusto!$G$106,IF(C304=Pudotusvalikot!$N$6,Kalusto!$G$107,IF(C304=Pudotusvalikot!$N$7,Kalusto!$G$108,"--")))))</f>
        <v>4.9950000000000001E-2</v>
      </c>
      <c r="L304" s="40"/>
      <c r="M304" s="41" t="s">
        <v>200</v>
      </c>
      <c r="N304" s="41"/>
      <c r="O304" s="256"/>
      <c r="Q304" s="35"/>
      <c r="R304" s="50" t="str">
        <f>IF(AND(ISNUMBER(G299)*ISNUMBER(C298)),K304*G304*C298,"")</f>
        <v/>
      </c>
      <c r="S304" s="102" t="s">
        <v>172</v>
      </c>
      <c r="T304" s="36"/>
      <c r="U304" s="36"/>
      <c r="V304" s="36"/>
      <c r="W304" s="36"/>
      <c r="X304" s="36"/>
      <c r="Y304" s="36"/>
      <c r="Z304" s="36"/>
      <c r="AA304" s="36"/>
      <c r="AB304" s="108"/>
      <c r="AC304" s="36"/>
      <c r="AD304" s="36"/>
      <c r="AE304" s="36"/>
      <c r="AF304" s="36"/>
      <c r="AG304" s="36"/>
      <c r="AH304" s="36"/>
      <c r="AI304" s="36"/>
      <c r="AJ304" s="36"/>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7" s="31" customFormat="1" ht="15.5" x14ac:dyDescent="0.3">
      <c r="B305" s="9" t="str">
        <f>B279</f>
        <v>Kemikaali-, tuote- tai materiaalilaji 2</v>
      </c>
      <c r="C305" s="34"/>
      <c r="D305" s="84"/>
      <c r="G305" s="72"/>
      <c r="H305" s="84"/>
      <c r="J305" s="33"/>
      <c r="K305" s="34"/>
      <c r="L305" s="34"/>
      <c r="M305" s="84"/>
      <c r="N305" s="84"/>
      <c r="O305" s="257"/>
      <c r="Q305" s="35"/>
      <c r="R305" s="36" t="s">
        <v>350</v>
      </c>
      <c r="S305" s="36"/>
      <c r="T305" s="36"/>
      <c r="U305" s="36"/>
      <c r="V305" s="36"/>
      <c r="W305" s="36"/>
      <c r="X305" s="36"/>
      <c r="Y305" s="36"/>
      <c r="Z305" s="36"/>
      <c r="AA305" s="36"/>
      <c r="AB305" s="108"/>
      <c r="AC305" s="36"/>
      <c r="AD305" s="36"/>
      <c r="AE305" s="36"/>
      <c r="AF305" s="36"/>
      <c r="AG305" s="36"/>
      <c r="AH305" s="36"/>
      <c r="AI305" s="36"/>
      <c r="AJ305" s="36"/>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7" s="31" customFormat="1" ht="15.5" x14ac:dyDescent="0.3">
      <c r="B306" s="54" t="s">
        <v>375</v>
      </c>
      <c r="C306" s="160"/>
      <c r="D306" s="84" t="s">
        <v>281</v>
      </c>
      <c r="G306" s="34"/>
      <c r="H306" s="84"/>
      <c r="J306" s="33"/>
      <c r="K306" s="38" t="s">
        <v>329</v>
      </c>
      <c r="L306" s="38" t="s">
        <v>201</v>
      </c>
      <c r="M306" s="84"/>
      <c r="N306" s="84"/>
      <c r="O306" s="257"/>
      <c r="Q306" s="35"/>
      <c r="R306" s="50" t="str">
        <f>IF(AND(ISNUMBER(G307),ISNUMBER(C306)),SUM(R307,R310:R312),"")</f>
        <v/>
      </c>
      <c r="S306" s="102" t="s">
        <v>172</v>
      </c>
      <c r="T306" s="36"/>
      <c r="U306" s="36"/>
      <c r="V306" s="36"/>
      <c r="W306" s="36"/>
      <c r="X306" s="36"/>
      <c r="Y306" s="36"/>
      <c r="Z306" s="36"/>
      <c r="AA306" s="36"/>
      <c r="AB306" s="108"/>
      <c r="AC306" s="36"/>
      <c r="AD306" s="36"/>
      <c r="AE306" s="36"/>
      <c r="AF306" s="36"/>
      <c r="AG306" s="36"/>
      <c r="AH306" s="36"/>
      <c r="AI306" s="36"/>
      <c r="AJ306" s="36"/>
      <c r="AK306" s="36"/>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7" s="31" customFormat="1" ht="46.5" x14ac:dyDescent="0.3">
      <c r="B307" s="155" t="s">
        <v>727</v>
      </c>
      <c r="C307" s="396" t="s">
        <v>283</v>
      </c>
      <c r="D307" s="397"/>
      <c r="G307" s="156"/>
      <c r="H307" s="84" t="s">
        <v>5</v>
      </c>
      <c r="J307" s="173" t="s">
        <v>441</v>
      </c>
      <c r="K307" s="96">
        <f>IF(ISNUMBER(L307),L307,IF(C307=Pudotusvalikot!$N$4,Kalusto!$G$105,IF(C307=Pudotusvalikot!$N$5,Kalusto!$G$106,IF(C307=Pudotusvalikot!$N$6,Kalusto!$G$107,IF(C307=Pudotusvalikot!$N$7,Kalusto!$G$108,Kalusto!$G$105))))*IF(OR(C309=Pudotusvalikot!$V$3,C309=Pudotusvalikot!$V$4),Muut!$E$38,IF(C309=Pudotusvalikot!$V$5,Muut!$E$39,IF(C309=Pudotusvalikot!$V$6,Muut!$E$40,Muut!$E$41))))</f>
        <v>4.9950000000000001E-2</v>
      </c>
      <c r="L307" s="40"/>
      <c r="M307" s="41" t="s">
        <v>200</v>
      </c>
      <c r="N307" s="41"/>
      <c r="O307" s="256"/>
      <c r="Q307" s="35"/>
      <c r="R307" s="50" t="str">
        <f>IF(ISNUMBER(Y308*X308*K307),Y308*X308*K307,"")</f>
        <v/>
      </c>
      <c r="S307" s="102" t="s">
        <v>172</v>
      </c>
      <c r="T307" s="36" t="s">
        <v>446</v>
      </c>
      <c r="U307" s="36" t="s">
        <v>384</v>
      </c>
      <c r="V307" s="36" t="s">
        <v>443</v>
      </c>
      <c r="W307" s="36" t="s">
        <v>444</v>
      </c>
      <c r="X307" s="36" t="s">
        <v>447</v>
      </c>
      <c r="Y307" s="36" t="s">
        <v>449</v>
      </c>
      <c r="Z307" s="36" t="s">
        <v>374</v>
      </c>
      <c r="AA307" s="36"/>
      <c r="AB307" s="108"/>
      <c r="AC307" s="36"/>
      <c r="AD307" s="36"/>
      <c r="AE307" s="36"/>
      <c r="AF307" s="36"/>
      <c r="AG307" s="36"/>
      <c r="AH307" s="36"/>
      <c r="AI307" s="36"/>
      <c r="AJ307" s="36"/>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7" s="31" customFormat="1" ht="15.5" x14ac:dyDescent="0.3">
      <c r="B308" s="78" t="s">
        <v>377</v>
      </c>
      <c r="C308" s="392" t="s">
        <v>93</v>
      </c>
      <c r="D308" s="393"/>
      <c r="E308" s="393"/>
      <c r="F308" s="393"/>
      <c r="G308" s="394"/>
      <c r="J308" s="33"/>
      <c r="K308" s="38" t="s">
        <v>329</v>
      </c>
      <c r="L308" s="38" t="s">
        <v>201</v>
      </c>
      <c r="M308" s="41"/>
      <c r="N308" s="41"/>
      <c r="O308" s="256"/>
      <c r="Q308" s="47"/>
      <c r="R308" s="108"/>
      <c r="S308" s="36"/>
      <c r="T308" s="48" t="str">
        <f>IF(ISNUMBER(L307),"Kohdetieto",IF(OR(C308=Pudotusvalikot!$D$14,C308=Pudotusvalikot!$D$15),Kalusto!$I$96,VLOOKUP(C308,Kalusto!$C$44:$L$83,7,FALSE)))</f>
        <v>Puoliperävaunu</v>
      </c>
      <c r="U308" s="48">
        <f>IF(ISNUMBER(L307),"Kohdetieto",IF(OR(C308=Pudotusvalikot!$D$14,C308=Pudotusvalikot!$D$15),Kalusto!$J$96,VLOOKUP(C308,Kalusto!$C$44:$L$83,8,FALSE)))</f>
        <v>40</v>
      </c>
      <c r="V308" s="49">
        <f>IF(ISNUMBER(L307),"Kohdetieto",IF(OR(C308=Pudotusvalikot!$D$14,C308=Pudotusvalikot!$D$15),Kalusto!$K$96,VLOOKUP(C308,Kalusto!$C$44:$L$83,9,FALSE)))</f>
        <v>0.8</v>
      </c>
      <c r="W308" s="49" t="str">
        <f>IF(ISNUMBER(L307),"Kohdetieto",IF(OR(C308=Pudotusvalikot!$D$14,C308=Pudotusvalikot!$D$15),Kalusto!$L$96,VLOOKUP(C308,Kalusto!$C$44:$L$83,10,FALSE)))</f>
        <v>maantieajo</v>
      </c>
      <c r="X308" s="50" t="str">
        <f>IF(ISBLANK(C306),"",C306/1000)</f>
        <v/>
      </c>
      <c r="Y308" s="48" t="str">
        <f>IF(ISNUMBER(G307),G307,"")</f>
        <v/>
      </c>
      <c r="Z308" s="51">
        <f>IF(ISNUMBER(L307),L307,K307)</f>
        <v>4.9950000000000001E-2</v>
      </c>
      <c r="AA308" s="36"/>
      <c r="AB308" s="108"/>
      <c r="AC308" s="36"/>
      <c r="AD308" s="36"/>
      <c r="AE308" s="36"/>
      <c r="AF308" s="36"/>
      <c r="AG308" s="36"/>
      <c r="AH308" s="36"/>
      <c r="AI308" s="36"/>
      <c r="AJ308" s="36"/>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7" s="31" customFormat="1" ht="15.5" x14ac:dyDescent="0.3">
      <c r="B309" s="78" t="s">
        <v>506</v>
      </c>
      <c r="C309" s="160" t="s">
        <v>242</v>
      </c>
      <c r="D309" s="34"/>
      <c r="E309" s="34"/>
      <c r="F309" s="34"/>
      <c r="G309" s="34"/>
      <c r="H309" s="59"/>
      <c r="J309" s="173"/>
      <c r="K309" s="173"/>
      <c r="L309" s="173"/>
      <c r="M309" s="41"/>
      <c r="N309" s="41"/>
      <c r="O309" s="256"/>
      <c r="Q309" s="47"/>
      <c r="R309" s="36"/>
      <c r="S309" s="36"/>
      <c r="T309" s="36"/>
      <c r="U309" s="36"/>
      <c r="V309" s="181"/>
      <c r="W309" s="181"/>
      <c r="X309" s="61"/>
      <c r="Y309" s="36"/>
      <c r="Z309" s="61"/>
      <c r="AA309" s="182"/>
      <c r="AB309" s="61"/>
      <c r="AC309" s="61"/>
      <c r="AD309" s="61"/>
      <c r="AE309" s="61"/>
      <c r="AF309" s="182"/>
      <c r="AG309" s="61"/>
      <c r="AH309" s="36"/>
      <c r="AI309" s="36"/>
      <c r="AJ309" s="36"/>
      <c r="AK309" s="108"/>
      <c r="AL309" s="36"/>
      <c r="AM309" s="36"/>
      <c r="AN309" s="37"/>
      <c r="AO309" s="37"/>
      <c r="AP309" s="37"/>
      <c r="AQ309" s="37"/>
      <c r="AR309" s="37"/>
      <c r="AS309" s="37"/>
      <c r="AT309" s="37"/>
      <c r="AU309" s="37"/>
      <c r="AV309" s="37"/>
      <c r="AW309" s="37"/>
      <c r="AX309" s="37"/>
      <c r="AY309" s="37"/>
      <c r="AZ309" s="37"/>
      <c r="BA309" s="37"/>
      <c r="BB309" s="37"/>
      <c r="BC309" s="37"/>
      <c r="BD309" s="37"/>
      <c r="BE309" s="37"/>
    </row>
    <row r="310" spans="2:57" s="31" customFormat="1" ht="15.5" x14ac:dyDescent="0.3">
      <c r="B310" s="155" t="s">
        <v>542</v>
      </c>
      <c r="C310" s="395" t="s">
        <v>283</v>
      </c>
      <c r="D310" s="395"/>
      <c r="G310" s="156"/>
      <c r="H310" s="84" t="s">
        <v>5</v>
      </c>
      <c r="J310" s="33" t="str">
        <f>IF(C310="Kuljetus","Ei oletusta","Oletus (" &amp; IF(C310="Tiekuljetus",Kalusto!$C$105,IF(C310="Raidekuljetus",Kalusto!$C$106,IF(C310="Laivarahti",Kalusto!$C$107,Kalusto!$C$108))) &amp; ")" )</f>
        <v>Oletus (Puoliperävaunuyhdistelmä, 40 t, 100 % kuorma, maantieajo)</v>
      </c>
      <c r="K310" s="96">
        <f>IF(ISNUMBER(L310),L310,IF(C310=Pudotusvalikot!$N$4,Kalusto!$G$105,IF(C310=Pudotusvalikot!$N$5,Kalusto!$G$106,IF(C310=Pudotusvalikot!$N$6,Kalusto!$G$107,IF(C310=Pudotusvalikot!$N$7,Kalusto!$G$108,Kalusto!$G$105)))))</f>
        <v>4.9950000000000001E-2</v>
      </c>
      <c r="L310" s="40"/>
      <c r="M310" s="41" t="s">
        <v>200</v>
      </c>
      <c r="N310" s="41"/>
      <c r="O310" s="256"/>
      <c r="Q310" s="35"/>
      <c r="R310" s="50" t="str">
        <f>IF(AND(ISNUMBER(G307)*ISNUMBER(C306)),K310*G310*C306,"")</f>
        <v/>
      </c>
      <c r="S310" s="102" t="s">
        <v>172</v>
      </c>
      <c r="T310" s="36"/>
      <c r="U310" s="36"/>
      <c r="V310" s="36"/>
      <c r="W310" s="36"/>
      <c r="X310" s="36"/>
      <c r="Y310" s="36"/>
      <c r="Z310" s="36"/>
      <c r="AA310" s="36"/>
      <c r="AB310" s="108"/>
      <c r="AC310" s="36"/>
      <c r="AD310" s="36"/>
      <c r="AE310" s="36"/>
      <c r="AF310" s="36"/>
      <c r="AG310" s="36"/>
      <c r="AH310" s="36"/>
      <c r="AI310" s="36"/>
      <c r="AJ310" s="36"/>
      <c r="AK310" s="36"/>
      <c r="AL310" s="36"/>
      <c r="AM310" s="36"/>
      <c r="AN310" s="37"/>
      <c r="AO310" s="37"/>
      <c r="AP310" s="37"/>
      <c r="AQ310" s="37"/>
      <c r="AR310" s="37"/>
      <c r="AS310" s="37"/>
      <c r="AT310" s="37"/>
      <c r="AU310" s="37"/>
      <c r="AV310" s="37"/>
      <c r="AW310" s="37"/>
      <c r="AX310" s="37"/>
      <c r="AY310" s="37"/>
      <c r="AZ310" s="37"/>
      <c r="BA310" s="37"/>
      <c r="BB310" s="37"/>
      <c r="BC310" s="37"/>
      <c r="BD310" s="37"/>
      <c r="BE310" s="37"/>
    </row>
    <row r="311" spans="2:57" s="31" customFormat="1" ht="15.5" x14ac:dyDescent="0.3">
      <c r="B311" s="155" t="s">
        <v>542</v>
      </c>
      <c r="C311" s="395" t="s">
        <v>284</v>
      </c>
      <c r="D311" s="395"/>
      <c r="G311" s="156"/>
      <c r="H311" s="84" t="s">
        <v>5</v>
      </c>
      <c r="J311" s="33" t="str">
        <f>IF(C311="Kuljetus","Ei oletusta","Oletus (" &amp; IF(C311="Tiekuljetus",Kalusto!$C$105,IF(C311="Raidekuljetus",Kalusto!$C$106,IF(C311="Laivarahti",Kalusto!$C$107,Kalusto!$C$108))) &amp; ")" )</f>
        <v>Oletus (Merikuljetus, konttilaiva, 1000 TEU)</v>
      </c>
      <c r="K311" s="96">
        <f>IF(ISNUMBER(L311),L311,IF(C311=Pudotusvalikot!$N$4,Kalusto!$G$105,IF(C311=Pudotusvalikot!$N$5,Kalusto!$G$106,IF(C311=Pudotusvalikot!$N$6,Kalusto!$G$107,IF(C311=Pudotusvalikot!$N$7,Kalusto!$G$108,"--")))))</f>
        <v>4.4999999999999998E-2</v>
      </c>
      <c r="L311" s="40"/>
      <c r="M311" s="41" t="s">
        <v>200</v>
      </c>
      <c r="N311" s="41"/>
      <c r="O311" s="256"/>
      <c r="Q311" s="35"/>
      <c r="R311" s="50" t="str">
        <f>IF(AND(ISNUMBER(G307)*ISNUMBER(C306)),K311*G311*C306,"")</f>
        <v/>
      </c>
      <c r="S311" s="102" t="s">
        <v>172</v>
      </c>
      <c r="T311" s="36"/>
      <c r="U311" s="36"/>
      <c r="V311" s="36"/>
      <c r="W311" s="36"/>
      <c r="X311" s="36"/>
      <c r="Y311" s="36"/>
      <c r="Z311" s="36"/>
      <c r="AA311" s="36"/>
      <c r="AB311" s="108"/>
      <c r="AC311" s="36"/>
      <c r="AD311" s="36"/>
      <c r="AE311" s="36"/>
      <c r="AF311" s="36"/>
      <c r="AG311" s="36"/>
      <c r="AH311" s="36"/>
      <c r="AI311" s="36"/>
      <c r="AJ311" s="36"/>
      <c r="AK311" s="36"/>
      <c r="AL311" s="36"/>
      <c r="AM311" s="36"/>
      <c r="AN311" s="37"/>
      <c r="AO311" s="37"/>
      <c r="AP311" s="37"/>
      <c r="AQ311" s="37"/>
      <c r="AR311" s="37"/>
      <c r="AS311" s="37"/>
      <c r="AT311" s="37"/>
      <c r="AU311" s="37"/>
      <c r="AV311" s="37"/>
      <c r="AW311" s="37"/>
      <c r="AX311" s="37"/>
      <c r="AY311" s="37"/>
      <c r="AZ311" s="37"/>
      <c r="BA311" s="37"/>
      <c r="BB311" s="37"/>
      <c r="BC311" s="37"/>
      <c r="BD311" s="37"/>
      <c r="BE311" s="37"/>
    </row>
    <row r="312" spans="2:57" s="31" customFormat="1" ht="15.5" x14ac:dyDescent="0.3">
      <c r="B312" s="155" t="s">
        <v>542</v>
      </c>
      <c r="C312" s="395" t="s">
        <v>283</v>
      </c>
      <c r="D312" s="395"/>
      <c r="G312" s="156"/>
      <c r="H312" s="84" t="s">
        <v>5</v>
      </c>
      <c r="J312" s="33" t="str">
        <f>IF(C312="Kuljetus","Ei oletusta","Oletus (" &amp; IF(C312="Tiekuljetus",Kalusto!$C$105,IF(C312="Raidekuljetus",Kalusto!$C$106,IF(C312="Laivarahti",Kalusto!$C$107,Kalusto!$C$108))) &amp; ")" )</f>
        <v>Oletus (Puoliperävaunuyhdistelmä, 40 t, 100 % kuorma, maantieajo)</v>
      </c>
      <c r="K312" s="96">
        <f>IF(ISNUMBER(L312),L312,IF(C312=Pudotusvalikot!$N$4,Kalusto!$G$105,IF(C312=Pudotusvalikot!$N$5,Kalusto!$G$106,IF(C312=Pudotusvalikot!$N$6,Kalusto!$G$107,IF(C312=Pudotusvalikot!$N$7,Kalusto!$G$108,"--")))))</f>
        <v>4.9950000000000001E-2</v>
      </c>
      <c r="L312" s="40"/>
      <c r="M312" s="41" t="s">
        <v>200</v>
      </c>
      <c r="N312" s="41"/>
      <c r="O312" s="256"/>
      <c r="Q312" s="35"/>
      <c r="R312" s="50" t="str">
        <f>IF(AND(ISNUMBER(G307)*ISNUMBER(C306)),K312*G312*C306,"")</f>
        <v/>
      </c>
      <c r="S312" s="102" t="s">
        <v>172</v>
      </c>
      <c r="T312" s="36"/>
      <c r="U312" s="36"/>
      <c r="V312" s="36"/>
      <c r="W312" s="36"/>
      <c r="X312" s="36"/>
      <c r="Y312" s="36"/>
      <c r="Z312" s="36"/>
      <c r="AA312" s="36"/>
      <c r="AB312" s="108"/>
      <c r="AC312" s="36"/>
      <c r="AD312" s="36"/>
      <c r="AE312" s="36"/>
      <c r="AF312" s="36"/>
      <c r="AG312" s="36"/>
      <c r="AH312" s="36"/>
      <c r="AI312" s="36"/>
      <c r="AJ312" s="36"/>
      <c r="AK312" s="36"/>
      <c r="AL312" s="36"/>
      <c r="AM312" s="36"/>
      <c r="AN312" s="37"/>
      <c r="AO312" s="37"/>
      <c r="AP312" s="37"/>
      <c r="AQ312" s="37"/>
      <c r="AR312" s="37"/>
      <c r="AS312" s="37"/>
      <c r="AT312" s="37"/>
      <c r="AU312" s="37"/>
      <c r="AV312" s="37"/>
      <c r="AW312" s="37"/>
      <c r="AX312" s="37"/>
      <c r="AY312" s="37"/>
      <c r="AZ312" s="37"/>
      <c r="BA312" s="37"/>
      <c r="BB312" s="37"/>
      <c r="BC312" s="37"/>
      <c r="BD312" s="37"/>
      <c r="BE312" s="37"/>
    </row>
    <row r="313" spans="2:57" s="31" customFormat="1" ht="15.5" x14ac:dyDescent="0.3">
      <c r="B313" s="9" t="str">
        <f>B282</f>
        <v>Kemikaali-, tuote- tai materiaalilaji 3</v>
      </c>
      <c r="C313" s="34"/>
      <c r="D313" s="84"/>
      <c r="G313" s="72"/>
      <c r="H313" s="84"/>
      <c r="J313" s="33"/>
      <c r="K313" s="34"/>
      <c r="L313" s="34"/>
      <c r="M313" s="84"/>
      <c r="N313" s="84"/>
      <c r="O313" s="257"/>
      <c r="Q313" s="35"/>
      <c r="R313" s="36" t="s">
        <v>350</v>
      </c>
      <c r="S313" s="36"/>
      <c r="T313" s="36"/>
      <c r="U313" s="36"/>
      <c r="V313" s="36"/>
      <c r="W313" s="36"/>
      <c r="X313" s="36"/>
      <c r="Y313" s="36"/>
      <c r="Z313" s="36"/>
      <c r="AA313" s="36"/>
      <c r="AB313" s="108"/>
      <c r="AC313" s="36"/>
      <c r="AD313" s="36"/>
      <c r="AE313" s="36"/>
      <c r="AF313" s="36"/>
      <c r="AG313" s="36"/>
      <c r="AH313" s="36"/>
      <c r="AI313" s="36"/>
      <c r="AJ313" s="36"/>
      <c r="AK313" s="36"/>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7" s="31" customFormat="1" ht="15.5" x14ac:dyDescent="0.3">
      <c r="B314" s="54" t="s">
        <v>375</v>
      </c>
      <c r="C314" s="160"/>
      <c r="D314" s="84" t="s">
        <v>281</v>
      </c>
      <c r="G314" s="34"/>
      <c r="H314" s="84"/>
      <c r="J314" s="33"/>
      <c r="K314" s="38" t="s">
        <v>329</v>
      </c>
      <c r="L314" s="38" t="s">
        <v>201</v>
      </c>
      <c r="M314" s="84"/>
      <c r="N314" s="84"/>
      <c r="O314" s="257"/>
      <c r="Q314" s="35"/>
      <c r="R314" s="50" t="str">
        <f>IF(AND(ISNUMBER(G315),ISNUMBER(C314)),SUM(R315,R318:R320),"")</f>
        <v/>
      </c>
      <c r="S314" s="102" t="s">
        <v>172</v>
      </c>
      <c r="T314" s="36"/>
      <c r="U314" s="36"/>
      <c r="V314" s="36"/>
      <c r="W314" s="36"/>
      <c r="X314" s="36"/>
      <c r="Y314" s="36"/>
      <c r="Z314" s="36"/>
      <c r="AA314" s="36"/>
      <c r="AB314" s="108"/>
      <c r="AC314" s="36"/>
      <c r="AD314" s="36"/>
      <c r="AE314" s="36"/>
      <c r="AF314" s="36"/>
      <c r="AG314" s="36"/>
      <c r="AH314" s="36"/>
      <c r="AI314" s="36"/>
      <c r="AJ314" s="36"/>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7" s="31" customFormat="1" ht="46.5" x14ac:dyDescent="0.3">
      <c r="B315" s="155" t="s">
        <v>728</v>
      </c>
      <c r="C315" s="396" t="s">
        <v>283</v>
      </c>
      <c r="D315" s="397"/>
      <c r="G315" s="156"/>
      <c r="H315" s="84" t="s">
        <v>5</v>
      </c>
      <c r="J315" s="173" t="s">
        <v>441</v>
      </c>
      <c r="K315" s="96">
        <f>IF(ISNUMBER(L315),L315,IF(C315=Pudotusvalikot!$N$4,Kalusto!$G$105,IF(C315=Pudotusvalikot!$N$5,Kalusto!$G$106,IF(C315=Pudotusvalikot!$N$6,Kalusto!$G$107,IF(C315=Pudotusvalikot!$N$7,Kalusto!$G$108,Kalusto!$G$105))))*IF(OR(C317=Pudotusvalikot!$V$3,C317=Pudotusvalikot!$V$4),Muut!$E$38,IF(C317=Pudotusvalikot!$V$5,Muut!$E$39,IF(C317=Pudotusvalikot!$V$6,Muut!$E$40,Muut!$E$41))))</f>
        <v>4.9950000000000001E-2</v>
      </c>
      <c r="L315" s="40"/>
      <c r="M315" s="41" t="s">
        <v>200</v>
      </c>
      <c r="N315" s="41"/>
      <c r="O315" s="256"/>
      <c r="Q315" s="35"/>
      <c r="R315" s="50" t="str">
        <f>IF(ISNUMBER(Y316*X316*K315),Y316*X316*K315,"")</f>
        <v/>
      </c>
      <c r="S315" s="102" t="s">
        <v>172</v>
      </c>
      <c r="T315" s="36" t="s">
        <v>446</v>
      </c>
      <c r="U315" s="36" t="s">
        <v>384</v>
      </c>
      <c r="V315" s="36" t="s">
        <v>443</v>
      </c>
      <c r="W315" s="36" t="s">
        <v>444</v>
      </c>
      <c r="X315" s="36" t="s">
        <v>447</v>
      </c>
      <c r="Y315" s="36" t="s">
        <v>449</v>
      </c>
      <c r="Z315" s="36" t="s">
        <v>374</v>
      </c>
      <c r="AA315" s="36"/>
      <c r="AB315" s="108"/>
      <c r="AC315" s="36"/>
      <c r="AD315" s="36"/>
      <c r="AE315" s="36"/>
      <c r="AF315" s="36"/>
      <c r="AG315" s="36"/>
      <c r="AH315" s="36"/>
      <c r="AI315" s="36"/>
      <c r="AJ315" s="36"/>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7" s="31" customFormat="1" ht="15.5" x14ac:dyDescent="0.3">
      <c r="B316" s="78" t="s">
        <v>377</v>
      </c>
      <c r="C316" s="392" t="s">
        <v>93</v>
      </c>
      <c r="D316" s="393"/>
      <c r="E316" s="393"/>
      <c r="F316" s="393"/>
      <c r="G316" s="394"/>
      <c r="H316" s="46" t="s">
        <v>203</v>
      </c>
      <c r="J316" s="33"/>
      <c r="K316" s="38" t="s">
        <v>329</v>
      </c>
      <c r="L316" s="38" t="s">
        <v>201</v>
      </c>
      <c r="M316" s="41"/>
      <c r="N316" s="41"/>
      <c r="O316" s="256"/>
      <c r="Q316" s="47"/>
      <c r="R316" s="108"/>
      <c r="S316" s="36"/>
      <c r="T316" s="48" t="str">
        <f>IF(ISNUMBER(L315),"Kohdetieto",IF(OR(C316=Pudotusvalikot!$D$14,C316=Pudotusvalikot!$D$15),Kalusto!$I$96,VLOOKUP(C316,Kalusto!$C$44:$L$83,7,FALSE)))</f>
        <v>Puoliperävaunu</v>
      </c>
      <c r="U316" s="48">
        <f>IF(ISNUMBER(L315),"Kohdetieto",IF(OR(C316=Pudotusvalikot!$D$14,C316=Pudotusvalikot!$D$15),Kalusto!$J$96,VLOOKUP(C316,Kalusto!$C$44:$L$83,8,FALSE)))</f>
        <v>40</v>
      </c>
      <c r="V316" s="49">
        <f>IF(ISNUMBER(L315),"Kohdetieto",IF(OR(C316=Pudotusvalikot!$D$14,C316=Pudotusvalikot!$D$15),Kalusto!$K$96,VLOOKUP(C316,Kalusto!$C$44:$L$83,9,FALSE)))</f>
        <v>0.8</v>
      </c>
      <c r="W316" s="49" t="str">
        <f>IF(ISNUMBER(L315),"Kohdetieto",IF(OR(C316=Pudotusvalikot!$D$14,C316=Pudotusvalikot!$D$15),Kalusto!$L$96,VLOOKUP(C316,Kalusto!$C$44:$L$83,10,FALSE)))</f>
        <v>maantieajo</v>
      </c>
      <c r="X316" s="50" t="str">
        <f>IF(ISBLANK(C314),"",C314/1000)</f>
        <v/>
      </c>
      <c r="Y316" s="48" t="str">
        <f>IF(ISNUMBER(G315),G315,"")</f>
        <v/>
      </c>
      <c r="Z316" s="51">
        <f>IF(ISNUMBER(L315),L315,K315)</f>
        <v>4.9950000000000001E-2</v>
      </c>
      <c r="AA316" s="36"/>
      <c r="AB316" s="108"/>
      <c r="AC316" s="36"/>
      <c r="AD316" s="36"/>
      <c r="AE316" s="36"/>
      <c r="AF316" s="36"/>
      <c r="AG316" s="36"/>
      <c r="AH316" s="36"/>
      <c r="AI316" s="36"/>
      <c r="AJ316" s="36"/>
      <c r="AK316" s="36"/>
      <c r="AL316" s="36"/>
      <c r="AM316" s="36"/>
      <c r="AN316" s="37"/>
      <c r="AO316" s="37"/>
      <c r="AP316" s="37"/>
      <c r="AQ316" s="37"/>
      <c r="AR316" s="37"/>
      <c r="AS316" s="37"/>
      <c r="AT316" s="37"/>
      <c r="AU316" s="37"/>
      <c r="AV316" s="37"/>
      <c r="AW316" s="37"/>
      <c r="AX316" s="37"/>
      <c r="AY316" s="37"/>
      <c r="AZ316" s="37"/>
      <c r="BA316" s="37"/>
      <c r="BB316" s="37"/>
      <c r="BC316" s="37"/>
      <c r="BD316" s="37"/>
      <c r="BE316" s="37"/>
    </row>
    <row r="317" spans="2:57" s="31" customFormat="1" ht="15.5" x14ac:dyDescent="0.3">
      <c r="B317" s="78" t="s">
        <v>506</v>
      </c>
      <c r="C317" s="160" t="s">
        <v>242</v>
      </c>
      <c r="D317" s="34"/>
      <c r="E317" s="34"/>
      <c r="F317" s="34"/>
      <c r="G317" s="34"/>
      <c r="H317" s="59"/>
      <c r="J317" s="173"/>
      <c r="K317" s="173"/>
      <c r="L317" s="173"/>
      <c r="M317" s="41"/>
      <c r="N317" s="41"/>
      <c r="O317" s="256"/>
      <c r="Q317" s="47"/>
      <c r="R317" s="36"/>
      <c r="S317" s="36"/>
      <c r="T317" s="36"/>
      <c r="U317" s="36"/>
      <c r="V317" s="181"/>
      <c r="W317" s="181"/>
      <c r="X317" s="61"/>
      <c r="Y317" s="36"/>
      <c r="Z317" s="61"/>
      <c r="AA317" s="182"/>
      <c r="AB317" s="61"/>
      <c r="AC317" s="61"/>
      <c r="AD317" s="61"/>
      <c r="AE317" s="61"/>
      <c r="AF317" s="182"/>
      <c r="AG317" s="61"/>
      <c r="AH317" s="36"/>
      <c r="AI317" s="36"/>
      <c r="AJ317" s="36"/>
      <c r="AK317" s="108"/>
      <c r="AL317" s="36"/>
      <c r="AM317" s="36"/>
      <c r="AN317" s="37"/>
      <c r="AO317" s="37"/>
      <c r="AP317" s="37"/>
      <c r="AQ317" s="37"/>
      <c r="AR317" s="37"/>
      <c r="AS317" s="37"/>
      <c r="AT317" s="37"/>
      <c r="AU317" s="37"/>
      <c r="AV317" s="37"/>
      <c r="AW317" s="37"/>
      <c r="AX317" s="37"/>
      <c r="AY317" s="37"/>
      <c r="AZ317" s="37"/>
      <c r="BA317" s="37"/>
      <c r="BB317" s="37"/>
      <c r="BC317" s="37"/>
      <c r="BD317" s="37"/>
      <c r="BE317" s="37"/>
    </row>
    <row r="318" spans="2:57" s="31" customFormat="1" ht="15.5" x14ac:dyDescent="0.3">
      <c r="B318" s="155" t="s">
        <v>542</v>
      </c>
      <c r="C318" s="395" t="s">
        <v>283</v>
      </c>
      <c r="D318" s="395"/>
      <c r="G318" s="156"/>
      <c r="H318" s="84" t="s">
        <v>5</v>
      </c>
      <c r="J318" s="33" t="str">
        <f>IF(C318="Kuljetus","Ei oletusta","Oletus (" &amp; IF(C318="Tiekuljetus",Kalusto!$C$105,IF(C318="Raidekuljetus",Kalusto!$C$106,IF(C318="Laivarahti",Kalusto!$C$107,Kalusto!$C$108))) &amp; ")" )</f>
        <v>Oletus (Puoliperävaunuyhdistelmä, 40 t, 100 % kuorma, maantieajo)</v>
      </c>
      <c r="K318" s="96">
        <f>IF(ISNUMBER(L318),L318,IF(C318=Pudotusvalikot!$N$4,Kalusto!$G$105,IF(C318=Pudotusvalikot!$N$5,Kalusto!$G$106,IF(C318=Pudotusvalikot!$N$6,Kalusto!$G$107,IF(C318=Pudotusvalikot!$N$7,Kalusto!$G$108,Kalusto!$G$105)))))</f>
        <v>4.9950000000000001E-2</v>
      </c>
      <c r="L318" s="40"/>
      <c r="M318" s="41" t="s">
        <v>200</v>
      </c>
      <c r="N318" s="41"/>
      <c r="O318" s="256"/>
      <c r="Q318" s="35"/>
      <c r="R318" s="50" t="str">
        <f>IF(AND(ISNUMBER(G315)*ISNUMBER(C314)),K318*G318*C314,"")</f>
        <v/>
      </c>
      <c r="S318" s="102" t="s">
        <v>172</v>
      </c>
      <c r="T318" s="36"/>
      <c r="U318" s="36"/>
      <c r="V318" s="36"/>
      <c r="W318" s="36"/>
      <c r="X318" s="36"/>
      <c r="Y318" s="36"/>
      <c r="Z318" s="36"/>
      <c r="AA318" s="36"/>
      <c r="AB318" s="108"/>
      <c r="AC318" s="36"/>
      <c r="AD318" s="36"/>
      <c r="AE318" s="36"/>
      <c r="AF318" s="36"/>
      <c r="AG318" s="36"/>
      <c r="AH318" s="36"/>
      <c r="AI318" s="36"/>
      <c r="AJ318" s="36"/>
      <c r="AK318" s="36"/>
      <c r="AL318" s="36"/>
      <c r="AM318" s="36"/>
      <c r="AN318" s="37"/>
      <c r="AO318" s="37"/>
      <c r="AP318" s="37"/>
      <c r="AQ318" s="37"/>
      <c r="AR318" s="37"/>
      <c r="AS318" s="37"/>
      <c r="AT318" s="37"/>
      <c r="AU318" s="37"/>
      <c r="AV318" s="37"/>
      <c r="AW318" s="37"/>
      <c r="AX318" s="37"/>
      <c r="AY318" s="37"/>
      <c r="AZ318" s="37"/>
      <c r="BA318" s="37"/>
      <c r="BB318" s="37"/>
      <c r="BC318" s="37"/>
      <c r="BD318" s="37"/>
      <c r="BE318" s="37"/>
    </row>
    <row r="319" spans="2:57" s="31" customFormat="1" ht="15.5" x14ac:dyDescent="0.3">
      <c r="B319" s="155" t="s">
        <v>542</v>
      </c>
      <c r="C319" s="395" t="s">
        <v>284</v>
      </c>
      <c r="D319" s="395"/>
      <c r="G319" s="156"/>
      <c r="H319" s="84" t="s">
        <v>5</v>
      </c>
      <c r="J319" s="33" t="str">
        <f>IF(C319="Kuljetus","Ei oletusta","Oletus (" &amp; IF(C319="Tiekuljetus",Kalusto!$C$105,IF(C319="Raidekuljetus",Kalusto!$C$106,IF(C319="Laivarahti",Kalusto!$C$107,Kalusto!$C$108))) &amp; ")" )</f>
        <v>Oletus (Merikuljetus, konttilaiva, 1000 TEU)</v>
      </c>
      <c r="K319" s="96">
        <f>IF(ISNUMBER(L319),L319,IF(C319=Pudotusvalikot!$N$4,Kalusto!$G$105,IF(C319=Pudotusvalikot!$N$5,Kalusto!$G$106,IF(C319=Pudotusvalikot!$N$6,Kalusto!$G$107,IF(C319=Pudotusvalikot!$N$7,Kalusto!$G$108,"--")))))</f>
        <v>4.4999999999999998E-2</v>
      </c>
      <c r="L319" s="40"/>
      <c r="M319" s="41" t="s">
        <v>200</v>
      </c>
      <c r="N319" s="41"/>
      <c r="O319" s="256"/>
      <c r="Q319" s="35"/>
      <c r="R319" s="50" t="str">
        <f>IF(AND(ISNUMBER(G315)*ISNUMBER(C314)),K319*G319*C314,"")</f>
        <v/>
      </c>
      <c r="S319" s="102" t="s">
        <v>172</v>
      </c>
      <c r="T319" s="36"/>
      <c r="U319" s="36"/>
      <c r="V319" s="36"/>
      <c r="W319" s="36"/>
      <c r="X319" s="36"/>
      <c r="Y319" s="36"/>
      <c r="Z319" s="36"/>
      <c r="AA319" s="36"/>
      <c r="AB319" s="108"/>
      <c r="AC319" s="36"/>
      <c r="AD319" s="36"/>
      <c r="AE319" s="36"/>
      <c r="AF319" s="36"/>
      <c r="AG319" s="36"/>
      <c r="AH319" s="36"/>
      <c r="AI319" s="36"/>
      <c r="AJ319" s="36"/>
      <c r="AK319" s="36"/>
      <c r="AL319" s="36"/>
      <c r="AM319" s="36"/>
      <c r="AN319" s="37"/>
      <c r="AO319" s="37"/>
      <c r="AP319" s="37"/>
      <c r="AQ319" s="37"/>
      <c r="AR319" s="37"/>
      <c r="AS319" s="37"/>
      <c r="AT319" s="37"/>
      <c r="AU319" s="37"/>
      <c r="AV319" s="37"/>
      <c r="AW319" s="37"/>
      <c r="AX319" s="37"/>
      <c r="AY319" s="37"/>
      <c r="AZ319" s="37"/>
      <c r="BA319" s="37"/>
      <c r="BB319" s="37"/>
      <c r="BC319" s="37"/>
      <c r="BD319" s="37"/>
      <c r="BE319" s="37"/>
    </row>
    <row r="320" spans="2:57" s="31" customFormat="1" ht="15.5" x14ac:dyDescent="0.3">
      <c r="B320" s="155" t="s">
        <v>542</v>
      </c>
      <c r="C320" s="395" t="s">
        <v>283</v>
      </c>
      <c r="D320" s="395"/>
      <c r="G320" s="156"/>
      <c r="H320" s="84" t="s">
        <v>5</v>
      </c>
      <c r="J320" s="33" t="str">
        <f>IF(C320="Kuljetus","Ei oletusta","Oletus (" &amp; IF(C320="Tiekuljetus",Kalusto!$C$105,IF(C320="Raidekuljetus",Kalusto!$C$106,IF(C320="Laivarahti",Kalusto!$C$107,Kalusto!$C$108))) &amp; ")" )</f>
        <v>Oletus (Puoliperävaunuyhdistelmä, 40 t, 100 % kuorma, maantieajo)</v>
      </c>
      <c r="K320" s="96">
        <f>IF(ISNUMBER(L320),L320,IF(C320=Pudotusvalikot!$N$4,Kalusto!$G$105,IF(C320=Pudotusvalikot!$N$5,Kalusto!$G$106,IF(C320=Pudotusvalikot!$N$6,Kalusto!$G$107,IF(C320=Pudotusvalikot!$N$7,Kalusto!$G$108,"--")))))</f>
        <v>4.9950000000000001E-2</v>
      </c>
      <c r="L320" s="40"/>
      <c r="M320" s="41" t="s">
        <v>200</v>
      </c>
      <c r="N320" s="41"/>
      <c r="O320" s="256"/>
      <c r="Q320" s="35"/>
      <c r="R320" s="50" t="str">
        <f>IF(AND(ISNUMBER(G315)*ISNUMBER(C314)),K320*G320*C314,"")</f>
        <v/>
      </c>
      <c r="S320" s="102" t="s">
        <v>172</v>
      </c>
      <c r="T320" s="36"/>
      <c r="U320" s="36"/>
      <c r="V320" s="36"/>
      <c r="W320" s="36"/>
      <c r="X320" s="36"/>
      <c r="Y320" s="36"/>
      <c r="Z320" s="36"/>
      <c r="AA320" s="36"/>
      <c r="AB320" s="108"/>
      <c r="AC320" s="36"/>
      <c r="AD320" s="36"/>
      <c r="AE320" s="36"/>
      <c r="AF320" s="36"/>
      <c r="AG320" s="36"/>
      <c r="AH320" s="36"/>
      <c r="AI320" s="36"/>
      <c r="AJ320" s="36"/>
      <c r="AK320" s="36"/>
      <c r="AL320" s="36"/>
      <c r="AM320" s="36"/>
      <c r="AN320" s="37"/>
      <c r="AO320" s="37"/>
      <c r="AP320" s="37"/>
      <c r="AQ320" s="37"/>
      <c r="AR320" s="37"/>
      <c r="AS320" s="37"/>
      <c r="AT320" s="37"/>
      <c r="AU320" s="37"/>
      <c r="AV320" s="37"/>
      <c r="AW320" s="37"/>
      <c r="AX320" s="37"/>
      <c r="AY320" s="37"/>
      <c r="AZ320" s="37"/>
      <c r="BA320" s="37"/>
      <c r="BB320" s="37"/>
      <c r="BC320" s="37"/>
      <c r="BD320" s="37"/>
      <c r="BE320" s="37"/>
    </row>
    <row r="321" spans="2:57" s="31" customFormat="1" ht="15.5" x14ac:dyDescent="0.3">
      <c r="B321" s="9" t="str">
        <f>B285</f>
        <v>Kemikaali-, tuote- tai materiaalilaji 4</v>
      </c>
      <c r="C321" s="34"/>
      <c r="D321" s="84"/>
      <c r="G321" s="72"/>
      <c r="H321" s="84"/>
      <c r="J321" s="33"/>
      <c r="K321" s="34"/>
      <c r="L321" s="34"/>
      <c r="M321" s="84"/>
      <c r="N321" s="84"/>
      <c r="O321" s="257"/>
      <c r="Q321" s="35"/>
      <c r="R321" s="36" t="s">
        <v>350</v>
      </c>
      <c r="S321" s="36"/>
      <c r="T321" s="36"/>
      <c r="U321" s="36"/>
      <c r="V321" s="36"/>
      <c r="W321" s="36"/>
      <c r="X321" s="36"/>
      <c r="Y321" s="36"/>
      <c r="Z321" s="36"/>
      <c r="AA321" s="36"/>
      <c r="AB321" s="108"/>
      <c r="AC321" s="36"/>
      <c r="AD321" s="36"/>
      <c r="AE321" s="36"/>
      <c r="AF321" s="36"/>
      <c r="AG321" s="36"/>
      <c r="AH321" s="36"/>
      <c r="AI321" s="36"/>
      <c r="AJ321" s="36"/>
      <c r="AK321" s="36"/>
      <c r="AL321" s="36"/>
      <c r="AM321" s="36"/>
      <c r="AN321" s="37"/>
      <c r="AO321" s="37"/>
      <c r="AP321" s="37"/>
      <c r="AQ321" s="37"/>
      <c r="AR321" s="37"/>
      <c r="AS321" s="37"/>
      <c r="AT321" s="37"/>
      <c r="AU321" s="37"/>
      <c r="AV321" s="37"/>
      <c r="AW321" s="37"/>
      <c r="AX321" s="37"/>
      <c r="AY321" s="37"/>
      <c r="AZ321" s="37"/>
      <c r="BA321" s="37"/>
      <c r="BB321" s="37"/>
      <c r="BC321" s="37"/>
      <c r="BD321" s="37"/>
      <c r="BE321" s="37"/>
    </row>
    <row r="322" spans="2:57" s="31" customFormat="1" ht="15.5" x14ac:dyDescent="0.3">
      <c r="B322" s="54" t="s">
        <v>375</v>
      </c>
      <c r="C322" s="160"/>
      <c r="D322" s="84" t="s">
        <v>281</v>
      </c>
      <c r="G322" s="34"/>
      <c r="H322" s="84"/>
      <c r="J322" s="33"/>
      <c r="K322" s="38" t="s">
        <v>329</v>
      </c>
      <c r="L322" s="38" t="s">
        <v>201</v>
      </c>
      <c r="M322" s="84"/>
      <c r="N322" s="84"/>
      <c r="O322" s="257"/>
      <c r="Q322" s="35"/>
      <c r="R322" s="50" t="str">
        <f>IF(AND(ISNUMBER(G323),ISNUMBER(C322)),SUM(R323,R326:R328),"")</f>
        <v/>
      </c>
      <c r="S322" s="102" t="s">
        <v>172</v>
      </c>
      <c r="T322" s="36"/>
      <c r="U322" s="36"/>
      <c r="V322" s="36"/>
      <c r="W322" s="36"/>
      <c r="X322" s="36"/>
      <c r="Y322" s="36"/>
      <c r="Z322" s="36"/>
      <c r="AA322" s="36"/>
      <c r="AB322" s="108"/>
      <c r="AC322" s="36"/>
      <c r="AD322" s="36"/>
      <c r="AE322" s="36"/>
      <c r="AF322" s="36"/>
      <c r="AG322" s="36"/>
      <c r="AH322" s="36"/>
      <c r="AI322" s="36"/>
      <c r="AJ322" s="36"/>
      <c r="AK322" s="36"/>
      <c r="AL322" s="36"/>
      <c r="AM322" s="36"/>
      <c r="AN322" s="37"/>
      <c r="AO322" s="37"/>
      <c r="AP322" s="37"/>
      <c r="AQ322" s="37"/>
      <c r="AR322" s="37"/>
      <c r="AS322" s="37"/>
      <c r="AT322" s="37"/>
      <c r="AU322" s="37"/>
      <c r="AV322" s="37"/>
      <c r="AW322" s="37"/>
      <c r="AX322" s="37"/>
      <c r="AY322" s="37"/>
      <c r="AZ322" s="37"/>
      <c r="BA322" s="37"/>
      <c r="BB322" s="37"/>
      <c r="BC322" s="37"/>
      <c r="BD322" s="37"/>
      <c r="BE322" s="37"/>
    </row>
    <row r="323" spans="2:57" s="31" customFormat="1" ht="46.5" x14ac:dyDescent="0.3">
      <c r="B323" s="155" t="s">
        <v>728</v>
      </c>
      <c r="C323" s="396" t="s">
        <v>283</v>
      </c>
      <c r="D323" s="397"/>
      <c r="G323" s="156"/>
      <c r="H323" s="84" t="s">
        <v>5</v>
      </c>
      <c r="J323" s="173" t="s">
        <v>441</v>
      </c>
      <c r="K323" s="96">
        <f>IF(ISNUMBER(L323),L323,IF(C323=Pudotusvalikot!$N$4,Kalusto!$G$105,IF(C323=Pudotusvalikot!$N$5,Kalusto!$G$106,IF(C323=Pudotusvalikot!$N$6,Kalusto!$G$107,IF(C323=Pudotusvalikot!$N$7,Kalusto!$G$108,Kalusto!$G$105))))*IF(OR(C325=Pudotusvalikot!$V$3,C325=Pudotusvalikot!$V$4),Muut!$E$38,IF(C325=Pudotusvalikot!$V$5,Muut!$E$39,IF(C325=Pudotusvalikot!$V$6,Muut!$E$40,Muut!$E$41))))</f>
        <v>4.9950000000000001E-2</v>
      </c>
      <c r="L323" s="40"/>
      <c r="M323" s="41" t="s">
        <v>200</v>
      </c>
      <c r="N323" s="41"/>
      <c r="O323" s="256"/>
      <c r="Q323" s="35"/>
      <c r="R323" s="50" t="str">
        <f>IF(ISNUMBER(Y324*X324*K323),Y324*X324*K323,"")</f>
        <v/>
      </c>
      <c r="S323" s="102" t="s">
        <v>172</v>
      </c>
      <c r="T323" s="36" t="s">
        <v>446</v>
      </c>
      <c r="U323" s="36" t="s">
        <v>384</v>
      </c>
      <c r="V323" s="36" t="s">
        <v>443</v>
      </c>
      <c r="W323" s="36" t="s">
        <v>444</v>
      </c>
      <c r="X323" s="36" t="s">
        <v>447</v>
      </c>
      <c r="Y323" s="36" t="s">
        <v>449</v>
      </c>
      <c r="Z323" s="36" t="s">
        <v>374</v>
      </c>
      <c r="AA323" s="36"/>
      <c r="AB323" s="108"/>
      <c r="AC323" s="36"/>
      <c r="AD323" s="36"/>
      <c r="AE323" s="36"/>
      <c r="AF323" s="36"/>
      <c r="AG323" s="36"/>
      <c r="AH323" s="36"/>
      <c r="AI323" s="36"/>
      <c r="AJ323" s="36"/>
      <c r="AK323" s="36"/>
      <c r="AL323" s="36"/>
      <c r="AM323" s="36"/>
      <c r="AN323" s="37"/>
      <c r="AO323" s="37"/>
      <c r="AP323" s="37"/>
      <c r="AQ323" s="37"/>
      <c r="AR323" s="37"/>
      <c r="AS323" s="37"/>
      <c r="AT323" s="37"/>
      <c r="AU323" s="37"/>
      <c r="AV323" s="37"/>
      <c r="AW323" s="37"/>
      <c r="AX323" s="37"/>
      <c r="AY323" s="37"/>
      <c r="AZ323" s="37"/>
      <c r="BA323" s="37"/>
      <c r="BB323" s="37"/>
      <c r="BC323" s="37"/>
      <c r="BD323" s="37"/>
      <c r="BE323" s="37"/>
    </row>
    <row r="324" spans="2:57" s="31" customFormat="1" ht="15.5" x14ac:dyDescent="0.3">
      <c r="B324" s="78" t="s">
        <v>377</v>
      </c>
      <c r="C324" s="392" t="s">
        <v>93</v>
      </c>
      <c r="D324" s="393"/>
      <c r="E324" s="393"/>
      <c r="F324" s="393"/>
      <c r="G324" s="394"/>
      <c r="J324" s="33"/>
      <c r="K324" s="38" t="s">
        <v>329</v>
      </c>
      <c r="L324" s="38" t="s">
        <v>201</v>
      </c>
      <c r="M324" s="41"/>
      <c r="N324" s="41"/>
      <c r="O324" s="256"/>
      <c r="Q324" s="47"/>
      <c r="R324" s="108"/>
      <c r="S324" s="36"/>
      <c r="T324" s="48" t="str">
        <f>IF(ISNUMBER(L323),"Kohdetieto",IF(OR(C324=Pudotusvalikot!$D$14,C324=Pudotusvalikot!$D$15),Kalusto!$I$96,VLOOKUP(C324,Kalusto!$C$44:$L$83,7,FALSE)))</f>
        <v>Puoliperävaunu</v>
      </c>
      <c r="U324" s="48">
        <f>IF(ISNUMBER(L323),"Kohdetieto",IF(OR(C324=Pudotusvalikot!$D$14,C324=Pudotusvalikot!$D$15),Kalusto!$J$96,VLOOKUP(C324,Kalusto!$C$44:$L$83,8,FALSE)))</f>
        <v>40</v>
      </c>
      <c r="V324" s="49">
        <f>IF(ISNUMBER(L323),"Kohdetieto",IF(OR(C324=Pudotusvalikot!$D$14,C324=Pudotusvalikot!$D$15),Kalusto!$K$96,VLOOKUP(C324,Kalusto!$C$44:$L$83,9,FALSE)))</f>
        <v>0.8</v>
      </c>
      <c r="W324" s="49" t="str">
        <f>IF(ISNUMBER(L323),"Kohdetieto",IF(OR(C324=Pudotusvalikot!$D$14,C324=Pudotusvalikot!$D$15),Kalusto!$L$96,VLOOKUP(C324,Kalusto!$C$44:$L$83,10,FALSE)))</f>
        <v>maantieajo</v>
      </c>
      <c r="X324" s="50" t="str">
        <f>IF(ISBLANK(C322),"",C322/1000)</f>
        <v/>
      </c>
      <c r="Y324" s="48" t="str">
        <f>IF(ISNUMBER(G323),G323,"")</f>
        <v/>
      </c>
      <c r="Z324" s="51">
        <f>IF(ISNUMBER(L323),L323,K323)</f>
        <v>4.9950000000000001E-2</v>
      </c>
      <c r="AA324" s="36"/>
      <c r="AB324" s="108"/>
      <c r="AC324" s="36"/>
      <c r="AD324" s="36"/>
      <c r="AE324" s="36"/>
      <c r="AF324" s="36"/>
      <c r="AG324" s="36"/>
      <c r="AH324" s="36"/>
      <c r="AI324" s="36"/>
      <c r="AJ324" s="36"/>
      <c r="AK324" s="36"/>
      <c r="AL324" s="36"/>
      <c r="AM324" s="36"/>
      <c r="AN324" s="37"/>
      <c r="AO324" s="37"/>
      <c r="AP324" s="37"/>
      <c r="AQ324" s="37"/>
      <c r="AR324" s="37"/>
      <c r="AS324" s="37"/>
      <c r="AT324" s="37"/>
      <c r="AU324" s="37"/>
      <c r="AV324" s="37"/>
      <c r="AW324" s="37"/>
      <c r="AX324" s="37"/>
      <c r="AY324" s="37"/>
      <c r="AZ324" s="37"/>
      <c r="BA324" s="37"/>
      <c r="BB324" s="37"/>
      <c r="BC324" s="37"/>
      <c r="BD324" s="37"/>
      <c r="BE324" s="37"/>
    </row>
    <row r="325" spans="2:57" s="31" customFormat="1" ht="15.5" x14ac:dyDescent="0.3">
      <c r="B325" s="78" t="s">
        <v>506</v>
      </c>
      <c r="C325" s="160" t="s">
        <v>242</v>
      </c>
      <c r="D325" s="34"/>
      <c r="E325" s="34"/>
      <c r="F325" s="34"/>
      <c r="G325" s="34"/>
      <c r="H325" s="59"/>
      <c r="J325" s="173"/>
      <c r="K325" s="173"/>
      <c r="L325" s="173"/>
      <c r="M325" s="41"/>
      <c r="N325" s="41"/>
      <c r="O325" s="256"/>
      <c r="Q325" s="47"/>
      <c r="R325" s="36"/>
      <c r="S325" s="36"/>
      <c r="T325" s="36"/>
      <c r="U325" s="36"/>
      <c r="V325" s="181"/>
      <c r="W325" s="181"/>
      <c r="X325" s="61"/>
      <c r="Y325" s="36"/>
      <c r="Z325" s="61"/>
      <c r="AA325" s="182"/>
      <c r="AB325" s="61"/>
      <c r="AC325" s="61"/>
      <c r="AD325" s="61"/>
      <c r="AE325" s="61"/>
      <c r="AF325" s="182"/>
      <c r="AG325" s="61"/>
      <c r="AH325" s="36"/>
      <c r="AI325" s="36"/>
      <c r="AJ325" s="36"/>
      <c r="AK325" s="108"/>
      <c r="AL325" s="36"/>
      <c r="AM325" s="36"/>
      <c r="AN325" s="37"/>
      <c r="AO325" s="37"/>
      <c r="AP325" s="37"/>
      <c r="AQ325" s="37"/>
      <c r="AR325" s="37"/>
      <c r="AS325" s="37"/>
      <c r="AT325" s="37"/>
      <c r="AU325" s="37"/>
      <c r="AV325" s="37"/>
      <c r="AW325" s="37"/>
      <c r="AX325" s="37"/>
      <c r="AY325" s="37"/>
      <c r="AZ325" s="37"/>
      <c r="BA325" s="37"/>
      <c r="BB325" s="37"/>
      <c r="BC325" s="37"/>
      <c r="BD325" s="37"/>
      <c r="BE325" s="37"/>
    </row>
    <row r="326" spans="2:57" s="31" customFormat="1" ht="15.5" x14ac:dyDescent="0.3">
      <c r="B326" s="155" t="s">
        <v>543</v>
      </c>
      <c r="C326" s="395" t="s">
        <v>283</v>
      </c>
      <c r="D326" s="395"/>
      <c r="G326" s="156"/>
      <c r="H326" s="84" t="s">
        <v>5</v>
      </c>
      <c r="J326" s="33" t="str">
        <f>IF(C326="Kuljetus","Ei oletusta","Oletus (" &amp; IF(C326="Tiekuljetus",Kalusto!$C$105,IF(C326="Raidekuljetus",Kalusto!$C$106,IF(C326="Laivarahti",Kalusto!$C$107,Kalusto!$C$108))) &amp; ")" )</f>
        <v>Oletus (Puoliperävaunuyhdistelmä, 40 t, 100 % kuorma, maantieajo)</v>
      </c>
      <c r="K326" s="96">
        <f>IF(ISNUMBER(L326),L326,IF(C326=Pudotusvalikot!$N$4,Kalusto!$G$105,IF(C326=Pudotusvalikot!$N$5,Kalusto!$G$106,IF(C326=Pudotusvalikot!$N$6,Kalusto!$G$107,IF(C326=Pudotusvalikot!$N$7,Kalusto!$G$108,Kalusto!$G$105)))))</f>
        <v>4.9950000000000001E-2</v>
      </c>
      <c r="L326" s="40"/>
      <c r="M326" s="41" t="s">
        <v>200</v>
      </c>
      <c r="N326" s="41"/>
      <c r="O326" s="256"/>
      <c r="Q326" s="35"/>
      <c r="R326" s="50" t="str">
        <f>IF(AND(ISNUMBER(G323)*ISNUMBER(C322)),K326*G326*C322,"")</f>
        <v/>
      </c>
      <c r="S326" s="102" t="s">
        <v>172</v>
      </c>
      <c r="T326" s="36"/>
      <c r="U326" s="36"/>
      <c r="V326" s="36"/>
      <c r="W326" s="36"/>
      <c r="X326" s="36"/>
      <c r="Y326" s="36"/>
      <c r="Z326" s="36"/>
      <c r="AA326" s="36"/>
      <c r="AB326" s="108"/>
      <c r="AC326" s="36"/>
      <c r="AD326" s="36"/>
      <c r="AE326" s="36"/>
      <c r="AF326" s="36"/>
      <c r="AG326" s="36"/>
      <c r="AH326" s="36"/>
      <c r="AI326" s="36"/>
      <c r="AJ326" s="36"/>
      <c r="AK326" s="36"/>
      <c r="AL326" s="36"/>
      <c r="AM326" s="36"/>
      <c r="AN326" s="37"/>
      <c r="AO326" s="37"/>
      <c r="AP326" s="37"/>
      <c r="AQ326" s="37"/>
      <c r="AR326" s="37"/>
      <c r="AS326" s="37"/>
      <c r="AT326" s="37"/>
      <c r="AU326" s="37"/>
      <c r="AV326" s="37"/>
      <c r="AW326" s="37"/>
      <c r="AX326" s="37"/>
      <c r="AY326" s="37"/>
      <c r="AZ326" s="37"/>
      <c r="BA326" s="37"/>
      <c r="BB326" s="37"/>
      <c r="BC326" s="37"/>
      <c r="BD326" s="37"/>
      <c r="BE326" s="37"/>
    </row>
    <row r="327" spans="2:57" s="31" customFormat="1" ht="15.5" x14ac:dyDescent="0.3">
      <c r="B327" s="155" t="s">
        <v>543</v>
      </c>
      <c r="C327" s="395" t="s">
        <v>284</v>
      </c>
      <c r="D327" s="395"/>
      <c r="G327" s="156"/>
      <c r="H327" s="84" t="s">
        <v>5</v>
      </c>
      <c r="J327" s="33" t="str">
        <f>IF(C327="Kuljetus","Ei oletusta","Oletus (" &amp; IF(C327="Tiekuljetus",Kalusto!$C$105,IF(C327="Raidekuljetus",Kalusto!$C$106,IF(C327="Laivarahti",Kalusto!$C$107,Kalusto!$C$108))) &amp; ")" )</f>
        <v>Oletus (Merikuljetus, konttilaiva, 1000 TEU)</v>
      </c>
      <c r="K327" s="96">
        <f>IF(ISNUMBER(L327),L327,IF(C327=Pudotusvalikot!$N$4,Kalusto!$G$105,IF(C327=Pudotusvalikot!$N$5,Kalusto!$G$106,IF(C327=Pudotusvalikot!$N$6,Kalusto!$G$107,IF(C327=Pudotusvalikot!$N$7,Kalusto!$G$108,"--")))))</f>
        <v>4.4999999999999998E-2</v>
      </c>
      <c r="L327" s="40"/>
      <c r="M327" s="41" t="s">
        <v>200</v>
      </c>
      <c r="N327" s="41"/>
      <c r="O327" s="256"/>
      <c r="Q327" s="35"/>
      <c r="R327" s="50" t="str">
        <f>IF(AND(ISNUMBER(G323)*ISNUMBER(C322)),K327*G327*C322,"")</f>
        <v/>
      </c>
      <c r="S327" s="102" t="s">
        <v>172</v>
      </c>
      <c r="T327" s="36"/>
      <c r="U327" s="36"/>
      <c r="V327" s="36"/>
      <c r="W327" s="36"/>
      <c r="X327" s="36"/>
      <c r="Y327" s="36"/>
      <c r="Z327" s="36"/>
      <c r="AA327" s="36"/>
      <c r="AB327" s="108"/>
      <c r="AC327" s="36"/>
      <c r="AD327" s="36"/>
      <c r="AE327" s="36"/>
      <c r="AF327" s="36"/>
      <c r="AG327" s="36"/>
      <c r="AH327" s="36"/>
      <c r="AI327" s="36"/>
      <c r="AJ327" s="36"/>
      <c r="AK327" s="36"/>
      <c r="AL327" s="36"/>
      <c r="AM327" s="36"/>
      <c r="AN327" s="37"/>
      <c r="AO327" s="37"/>
      <c r="AP327" s="37"/>
      <c r="AQ327" s="37"/>
      <c r="AR327" s="37"/>
      <c r="AS327" s="37"/>
      <c r="AT327" s="37"/>
      <c r="AU327" s="37"/>
      <c r="AV327" s="37"/>
      <c r="AW327" s="37"/>
      <c r="AX327" s="37"/>
      <c r="AY327" s="37"/>
      <c r="AZ327" s="37"/>
      <c r="BA327" s="37"/>
      <c r="BB327" s="37"/>
      <c r="BC327" s="37"/>
      <c r="BD327" s="37"/>
      <c r="BE327" s="37"/>
    </row>
    <row r="328" spans="2:57" s="31" customFormat="1" ht="15.5" x14ac:dyDescent="0.3">
      <c r="B328" s="155" t="s">
        <v>543</v>
      </c>
      <c r="C328" s="395" t="s">
        <v>283</v>
      </c>
      <c r="D328" s="395"/>
      <c r="G328" s="156"/>
      <c r="H328" s="84" t="s">
        <v>5</v>
      </c>
      <c r="J328" s="33" t="str">
        <f>IF(C328="Kuljetus","Ei oletusta","Oletus (" &amp; IF(C328="Tiekuljetus",Kalusto!$C$105,IF(C328="Raidekuljetus",Kalusto!$C$106,IF(C328="Laivarahti",Kalusto!$C$107,Kalusto!$C$108))) &amp; ")" )</f>
        <v>Oletus (Puoliperävaunuyhdistelmä, 40 t, 100 % kuorma, maantieajo)</v>
      </c>
      <c r="K328" s="96">
        <f>IF(ISNUMBER(L328),L328,IF(C328=Pudotusvalikot!$N$4,Kalusto!$G$105,IF(C328=Pudotusvalikot!$N$5,Kalusto!$G$106,IF(C328=Pudotusvalikot!$N$6,Kalusto!$G$107,IF(C328=Pudotusvalikot!$N$7,Kalusto!$G$108,"--")))))</f>
        <v>4.9950000000000001E-2</v>
      </c>
      <c r="L328" s="40"/>
      <c r="M328" s="41" t="s">
        <v>200</v>
      </c>
      <c r="N328" s="41"/>
      <c r="O328" s="256"/>
      <c r="Q328" s="35"/>
      <c r="R328" s="50" t="str">
        <f>IF(AND(ISNUMBER(G323)*ISNUMBER(C322)),K328*G328*C322,"")</f>
        <v/>
      </c>
      <c r="S328" s="102" t="s">
        <v>172</v>
      </c>
      <c r="T328" s="36"/>
      <c r="U328" s="36"/>
      <c r="V328" s="36"/>
      <c r="W328" s="36"/>
      <c r="X328" s="36"/>
      <c r="Y328" s="36"/>
      <c r="Z328" s="36"/>
      <c r="AA328" s="36"/>
      <c r="AB328" s="108"/>
      <c r="AC328" s="36"/>
      <c r="AD328" s="36"/>
      <c r="AE328" s="36"/>
      <c r="AF328" s="36"/>
      <c r="AG328" s="36"/>
      <c r="AH328" s="36"/>
      <c r="AI328" s="36"/>
      <c r="AJ328" s="36"/>
      <c r="AK328" s="36"/>
      <c r="AL328" s="36"/>
      <c r="AM328" s="36"/>
      <c r="AN328" s="37"/>
      <c r="AO328" s="37"/>
      <c r="AP328" s="37"/>
      <c r="AQ328" s="37"/>
      <c r="AR328" s="37"/>
      <c r="AS328" s="37"/>
      <c r="AT328" s="37"/>
      <c r="AU328" s="37"/>
      <c r="AV328" s="37"/>
      <c r="AW328" s="37"/>
      <c r="AX328" s="37"/>
      <c r="AY328" s="37"/>
      <c r="AZ328" s="37"/>
      <c r="BA328" s="37"/>
      <c r="BB328" s="37"/>
      <c r="BC328" s="37"/>
      <c r="BD328" s="37"/>
      <c r="BE328" s="37"/>
    </row>
    <row r="329" spans="2:57" s="31" customFormat="1" ht="15.5" x14ac:dyDescent="0.3">
      <c r="B329" s="9" t="str">
        <f>B288</f>
        <v>Kemikaali-, tuote- tai materiaalilaji 5</v>
      </c>
      <c r="C329" s="34"/>
      <c r="D329" s="84"/>
      <c r="G329" s="72"/>
      <c r="H329" s="84"/>
      <c r="J329" s="33"/>
      <c r="K329" s="34"/>
      <c r="L329" s="34"/>
      <c r="M329" s="84"/>
      <c r="N329" s="84"/>
      <c r="O329" s="257"/>
      <c r="Q329" s="35"/>
      <c r="R329" s="36" t="s">
        <v>350</v>
      </c>
      <c r="S329" s="36"/>
      <c r="T329" s="36"/>
      <c r="U329" s="36"/>
      <c r="V329" s="36"/>
      <c r="W329" s="36"/>
      <c r="X329" s="36"/>
      <c r="Y329" s="36"/>
      <c r="Z329" s="36"/>
      <c r="AA329" s="36"/>
      <c r="AB329" s="108"/>
      <c r="AC329" s="36"/>
      <c r="AD329" s="36"/>
      <c r="AE329" s="36"/>
      <c r="AF329" s="36"/>
      <c r="AG329" s="36"/>
      <c r="AH329" s="36"/>
      <c r="AI329" s="36"/>
      <c r="AJ329" s="36"/>
      <c r="AK329" s="36"/>
      <c r="AL329" s="36"/>
      <c r="AM329" s="36"/>
      <c r="AN329" s="37"/>
      <c r="AO329" s="37"/>
      <c r="AP329" s="37"/>
      <c r="AQ329" s="37"/>
      <c r="AR329" s="37"/>
      <c r="AS329" s="37"/>
      <c r="AT329" s="37"/>
      <c r="AU329" s="37"/>
      <c r="AV329" s="37"/>
      <c r="AW329" s="37"/>
      <c r="AX329" s="37"/>
      <c r="AY329" s="37"/>
      <c r="AZ329" s="37"/>
      <c r="BA329" s="37"/>
      <c r="BB329" s="37"/>
      <c r="BC329" s="37"/>
      <c r="BD329" s="37"/>
      <c r="BE329" s="37"/>
    </row>
    <row r="330" spans="2:57" s="31" customFormat="1" ht="15.5" x14ac:dyDescent="0.3">
      <c r="B330" s="54" t="s">
        <v>286</v>
      </c>
      <c r="C330" s="160"/>
      <c r="D330" s="84" t="s">
        <v>281</v>
      </c>
      <c r="G330" s="34"/>
      <c r="H330" s="84"/>
      <c r="J330" s="33"/>
      <c r="K330" s="38" t="s">
        <v>329</v>
      </c>
      <c r="L330" s="38" t="s">
        <v>201</v>
      </c>
      <c r="M330" s="84"/>
      <c r="N330" s="84"/>
      <c r="O330" s="257"/>
      <c r="Q330" s="35"/>
      <c r="R330" s="50" t="str">
        <f>IF(AND(ISNUMBER(G331),ISNUMBER(C330)),SUM(R331,R334:R336),"")</f>
        <v/>
      </c>
      <c r="S330" s="102" t="s">
        <v>172</v>
      </c>
      <c r="T330" s="36"/>
      <c r="U330" s="36"/>
      <c r="V330" s="36"/>
      <c r="W330" s="36"/>
      <c r="X330" s="36"/>
      <c r="Y330" s="36"/>
      <c r="Z330" s="36"/>
      <c r="AA330" s="36"/>
      <c r="AB330" s="108"/>
      <c r="AC330" s="36"/>
      <c r="AD330" s="36"/>
      <c r="AE330" s="36"/>
      <c r="AF330" s="36"/>
      <c r="AG330" s="36"/>
      <c r="AH330" s="36"/>
      <c r="AI330" s="36"/>
      <c r="AJ330" s="36"/>
      <c r="AK330" s="36"/>
      <c r="AL330" s="36"/>
      <c r="AM330" s="36"/>
      <c r="AN330" s="37"/>
      <c r="AO330" s="37"/>
      <c r="AP330" s="37"/>
      <c r="AQ330" s="37"/>
      <c r="AR330" s="37"/>
      <c r="AS330" s="37"/>
      <c r="AT330" s="37"/>
      <c r="AU330" s="37"/>
      <c r="AV330" s="37"/>
      <c r="AW330" s="37"/>
      <c r="AX330" s="37"/>
      <c r="AY330" s="37"/>
      <c r="AZ330" s="37"/>
      <c r="BA330" s="37"/>
      <c r="BB330" s="37"/>
      <c r="BC330" s="37"/>
      <c r="BD330" s="37"/>
      <c r="BE330" s="37"/>
    </row>
    <row r="331" spans="2:57" s="31" customFormat="1" ht="46.5" x14ac:dyDescent="0.3">
      <c r="B331" s="155" t="s">
        <v>728</v>
      </c>
      <c r="C331" s="396" t="s">
        <v>283</v>
      </c>
      <c r="D331" s="397"/>
      <c r="G331" s="156"/>
      <c r="H331" s="84" t="s">
        <v>5</v>
      </c>
      <c r="J331" s="173" t="s">
        <v>441</v>
      </c>
      <c r="K331" s="96">
        <f>IF(ISNUMBER(L331),L331,IF(C331=Pudotusvalikot!$N$4,Kalusto!$G$105,IF(C331=Pudotusvalikot!$N$5,Kalusto!$G$106,IF(C331=Pudotusvalikot!$N$6,Kalusto!$G$107,IF(C331=Pudotusvalikot!$N$7,Kalusto!$G$108,Kalusto!$G$105))))*IF(OR(C333=Pudotusvalikot!$V$3,C333=Pudotusvalikot!$V$4),Muut!$E$38,IF(C333=Pudotusvalikot!$V$5,Muut!$E$39,IF(C333=Pudotusvalikot!$V$6,Muut!$E$40,Muut!$E$41))))</f>
        <v>4.9950000000000001E-2</v>
      </c>
      <c r="L331" s="40"/>
      <c r="M331" s="41" t="s">
        <v>200</v>
      </c>
      <c r="N331" s="41"/>
      <c r="O331" s="256"/>
      <c r="Q331" s="35"/>
      <c r="R331" s="50" t="str">
        <f>IF(ISNUMBER(Y332*X332*K331),Y332*X332*K331,"")</f>
        <v/>
      </c>
      <c r="S331" s="102" t="s">
        <v>172</v>
      </c>
      <c r="T331" s="36" t="s">
        <v>446</v>
      </c>
      <c r="U331" s="36" t="s">
        <v>384</v>
      </c>
      <c r="V331" s="36" t="s">
        <v>443</v>
      </c>
      <c r="W331" s="36" t="s">
        <v>444</v>
      </c>
      <c r="X331" s="36" t="s">
        <v>447</v>
      </c>
      <c r="Y331" s="36" t="s">
        <v>449</v>
      </c>
      <c r="Z331" s="36" t="s">
        <v>374</v>
      </c>
      <c r="AA331" s="36"/>
      <c r="AB331" s="108"/>
      <c r="AC331" s="36"/>
      <c r="AD331" s="36"/>
      <c r="AE331" s="36"/>
      <c r="AF331" s="36"/>
      <c r="AG331" s="36"/>
      <c r="AH331" s="36"/>
      <c r="AI331" s="36"/>
      <c r="AJ331" s="36"/>
      <c r="AK331" s="36"/>
      <c r="AL331" s="36"/>
      <c r="AM331" s="36"/>
      <c r="AN331" s="37"/>
      <c r="AO331" s="37"/>
      <c r="AP331" s="37"/>
      <c r="AQ331" s="37"/>
      <c r="AR331" s="37"/>
      <c r="AS331" s="37"/>
      <c r="AT331" s="37"/>
      <c r="AU331" s="37"/>
      <c r="AV331" s="37"/>
      <c r="AW331" s="37"/>
      <c r="AX331" s="37"/>
      <c r="AY331" s="37"/>
      <c r="AZ331" s="37"/>
      <c r="BA331" s="37"/>
      <c r="BB331" s="37"/>
      <c r="BC331" s="37"/>
      <c r="BD331" s="37"/>
      <c r="BE331" s="37"/>
    </row>
    <row r="332" spans="2:57" s="31" customFormat="1" ht="15.5" x14ac:dyDescent="0.3">
      <c r="B332" s="78" t="s">
        <v>377</v>
      </c>
      <c r="C332" s="392" t="s">
        <v>93</v>
      </c>
      <c r="D332" s="393"/>
      <c r="E332" s="393"/>
      <c r="F332" s="393"/>
      <c r="G332" s="394"/>
      <c r="J332" s="33"/>
      <c r="K332" s="38" t="s">
        <v>329</v>
      </c>
      <c r="L332" s="38" t="s">
        <v>201</v>
      </c>
      <c r="M332" s="41"/>
      <c r="N332" s="41"/>
      <c r="O332" s="256"/>
      <c r="Q332" s="47"/>
      <c r="R332" s="108"/>
      <c r="S332" s="36"/>
      <c r="T332" s="48" t="str">
        <f>IF(ISNUMBER(L331),"Kohdetieto",IF(OR(C332=Pudotusvalikot!$D$14,C332=Pudotusvalikot!$D$15),Kalusto!$I$96,VLOOKUP(C332,Kalusto!$C$44:$L$83,7,FALSE)))</f>
        <v>Puoliperävaunu</v>
      </c>
      <c r="U332" s="48">
        <f>IF(ISNUMBER(L331),"Kohdetieto",IF(OR(C332=Pudotusvalikot!$D$14,C332=Pudotusvalikot!$D$15),Kalusto!$J$96,VLOOKUP(C332,Kalusto!$C$44:$L$83,8,FALSE)))</f>
        <v>40</v>
      </c>
      <c r="V332" s="49">
        <f>IF(ISNUMBER(L331),"Kohdetieto",IF(OR(C332=Pudotusvalikot!$D$14,C332=Pudotusvalikot!$D$15),Kalusto!$K$96,VLOOKUP(C332,Kalusto!$C$44:$L$83,9,FALSE)))</f>
        <v>0.8</v>
      </c>
      <c r="W332" s="49" t="str">
        <f>IF(ISNUMBER(L331),"Kohdetieto",IF(OR(C332=Pudotusvalikot!$D$14,C332=Pudotusvalikot!$D$15),Kalusto!$L$96,VLOOKUP(C332,Kalusto!$C$44:$L$83,10,FALSE)))</f>
        <v>maantieajo</v>
      </c>
      <c r="X332" s="50" t="str">
        <f>IF(ISBLANK(C330),"",C330/1000)</f>
        <v/>
      </c>
      <c r="Y332" s="48" t="str">
        <f>IF(ISNUMBER(G331),G331,"")</f>
        <v/>
      </c>
      <c r="Z332" s="51">
        <f>IF(ISNUMBER(L331),L331,K331)</f>
        <v>4.9950000000000001E-2</v>
      </c>
      <c r="AA332" s="36"/>
      <c r="AB332" s="108"/>
      <c r="AC332" s="36"/>
      <c r="AD332" s="36"/>
      <c r="AE332" s="36"/>
      <c r="AF332" s="36"/>
      <c r="AG332" s="36"/>
      <c r="AH332" s="36"/>
      <c r="AI332" s="36"/>
      <c r="AJ332" s="36"/>
      <c r="AK332" s="36"/>
      <c r="AL332" s="36"/>
      <c r="AM332" s="36"/>
      <c r="AN332" s="37"/>
      <c r="AO332" s="37"/>
      <c r="AP332" s="37"/>
      <c r="AQ332" s="37"/>
      <c r="AR332" s="37"/>
      <c r="AS332" s="37"/>
      <c r="AT332" s="37"/>
      <c r="AU332" s="37"/>
      <c r="AV332" s="37"/>
      <c r="AW332" s="37"/>
      <c r="AX332" s="37"/>
      <c r="AY332" s="37"/>
      <c r="AZ332" s="37"/>
      <c r="BA332" s="37"/>
      <c r="BB332" s="37"/>
      <c r="BC332" s="37"/>
      <c r="BD332" s="37"/>
      <c r="BE332" s="37"/>
    </row>
    <row r="333" spans="2:57" s="31" customFormat="1" ht="15.5" x14ac:dyDescent="0.3">
      <c r="B333" s="78" t="s">
        <v>506</v>
      </c>
      <c r="C333" s="160" t="s">
        <v>242</v>
      </c>
      <c r="D333" s="34"/>
      <c r="E333" s="34"/>
      <c r="F333" s="34"/>
      <c r="G333" s="34"/>
      <c r="H333" s="59"/>
      <c r="J333" s="173"/>
      <c r="K333" s="173"/>
      <c r="L333" s="173"/>
      <c r="M333" s="41"/>
      <c r="N333" s="41"/>
      <c r="O333" s="256"/>
      <c r="Q333" s="47"/>
      <c r="R333" s="36"/>
      <c r="S333" s="36"/>
      <c r="T333" s="36"/>
      <c r="U333" s="36"/>
      <c r="V333" s="181"/>
      <c r="W333" s="181"/>
      <c r="X333" s="61"/>
      <c r="Y333" s="36"/>
      <c r="Z333" s="61"/>
      <c r="AA333" s="182"/>
      <c r="AB333" s="61"/>
      <c r="AC333" s="61"/>
      <c r="AD333" s="61"/>
      <c r="AE333" s="61"/>
      <c r="AF333" s="182"/>
      <c r="AG333" s="61"/>
      <c r="AH333" s="36"/>
      <c r="AI333" s="36"/>
      <c r="AJ333" s="36"/>
      <c r="AK333" s="108"/>
      <c r="AL333" s="36"/>
      <c r="AM333" s="36"/>
      <c r="AN333" s="37"/>
      <c r="AO333" s="37"/>
      <c r="AP333" s="37"/>
      <c r="AQ333" s="37"/>
      <c r="AR333" s="37"/>
      <c r="AS333" s="37"/>
      <c r="AT333" s="37"/>
      <c r="AU333" s="37"/>
      <c r="AV333" s="37"/>
      <c r="AW333" s="37"/>
      <c r="AX333" s="37"/>
      <c r="AY333" s="37"/>
      <c r="AZ333" s="37"/>
      <c r="BA333" s="37"/>
      <c r="BB333" s="37"/>
      <c r="BC333" s="37"/>
      <c r="BD333" s="37"/>
      <c r="BE333" s="37"/>
    </row>
    <row r="334" spans="2:57" s="31" customFormat="1" ht="15.5" x14ac:dyDescent="0.3">
      <c r="B334" s="155" t="s">
        <v>543</v>
      </c>
      <c r="C334" s="395" t="s">
        <v>283</v>
      </c>
      <c r="D334" s="395"/>
      <c r="G334" s="156"/>
      <c r="H334" s="84" t="s">
        <v>5</v>
      </c>
      <c r="J334" s="33" t="str">
        <f>IF(C334="Kuljetus","Ei oletusta","Oletus (" &amp; IF(C334="Tiekuljetus",Kalusto!$C$105,IF(C334="Raidekuljetus",Kalusto!$C$106,IF(C334="Laivarahti",Kalusto!$C$107,Kalusto!$C$108))) &amp; ")" )</f>
        <v>Oletus (Puoliperävaunuyhdistelmä, 40 t, 100 % kuorma, maantieajo)</v>
      </c>
      <c r="K334" s="96">
        <f>IF(ISNUMBER(L334),L334,IF(C334=Pudotusvalikot!$N$4,Kalusto!$G$105,IF(C334=Pudotusvalikot!$N$5,Kalusto!$G$106,IF(C334=Pudotusvalikot!$N$6,Kalusto!$G$107,IF(C334=Pudotusvalikot!$N$7,Kalusto!$G$108,Kalusto!$G$105)))))</f>
        <v>4.9950000000000001E-2</v>
      </c>
      <c r="L334" s="40"/>
      <c r="M334" s="41" t="s">
        <v>200</v>
      </c>
      <c r="N334" s="41"/>
      <c r="O334" s="256"/>
      <c r="Q334" s="35"/>
      <c r="R334" s="50" t="str">
        <f>IF(AND(ISNUMBER(G332)*ISNUMBER(C330)),K334*G334*C330,"")</f>
        <v/>
      </c>
      <c r="S334" s="102" t="s">
        <v>172</v>
      </c>
      <c r="T334" s="108"/>
      <c r="U334" s="36"/>
      <c r="V334" s="36"/>
      <c r="W334" s="36"/>
      <c r="X334" s="36"/>
      <c r="Y334" s="36"/>
      <c r="Z334" s="36"/>
      <c r="AA334" s="36"/>
      <c r="AB334" s="36"/>
      <c r="AC334" s="36"/>
      <c r="AD334" s="36"/>
      <c r="AE334" s="36"/>
      <c r="AF334" s="36"/>
      <c r="AG334" s="36"/>
      <c r="AH334" s="36"/>
      <c r="AI334" s="36"/>
      <c r="AJ334" s="36"/>
      <c r="AK334" s="36"/>
      <c r="AL334" s="36"/>
      <c r="AM334" s="36"/>
      <c r="AN334" s="37"/>
      <c r="AO334" s="37"/>
      <c r="AP334" s="37"/>
      <c r="AQ334" s="37"/>
      <c r="AR334" s="37"/>
      <c r="AS334" s="37"/>
      <c r="AT334" s="37"/>
      <c r="AU334" s="37"/>
      <c r="AV334" s="37"/>
      <c r="AW334" s="37"/>
      <c r="AX334" s="37"/>
      <c r="AY334" s="37"/>
      <c r="AZ334" s="37"/>
      <c r="BA334" s="37"/>
      <c r="BB334" s="37"/>
      <c r="BC334" s="37"/>
      <c r="BD334" s="37"/>
      <c r="BE334" s="37"/>
    </row>
    <row r="335" spans="2:57" s="31" customFormat="1" ht="15.5" x14ac:dyDescent="0.3">
      <c r="B335" s="155" t="s">
        <v>543</v>
      </c>
      <c r="C335" s="395" t="s">
        <v>284</v>
      </c>
      <c r="D335" s="395"/>
      <c r="G335" s="156"/>
      <c r="H335" s="84" t="s">
        <v>5</v>
      </c>
      <c r="J335" s="33" t="str">
        <f>IF(C335="Kuljetus","Ei oletusta","Oletus (" &amp; IF(C335="Tiekuljetus",Kalusto!$C$105,IF(C335="Raidekuljetus",Kalusto!$C$106,IF(C335="Laivarahti",Kalusto!$C$107,Kalusto!$C$108))) &amp; ")" )</f>
        <v>Oletus (Merikuljetus, konttilaiva, 1000 TEU)</v>
      </c>
      <c r="K335" s="96">
        <f>IF(ISNUMBER(L335),L335,IF(C335=Pudotusvalikot!$N$4,Kalusto!$G$105,IF(C335=Pudotusvalikot!$N$5,Kalusto!$G$106,IF(C335=Pudotusvalikot!$N$6,Kalusto!$G$107,IF(C335=Pudotusvalikot!$N$7,Kalusto!$G$108,"--")))))</f>
        <v>4.4999999999999998E-2</v>
      </c>
      <c r="L335" s="40"/>
      <c r="M335" s="41" t="s">
        <v>200</v>
      </c>
      <c r="N335" s="41"/>
      <c r="O335" s="256"/>
      <c r="Q335" s="35"/>
      <c r="R335" s="50" t="str">
        <f>IF(AND(ISNUMBER(G332)*ISNUMBER(C330)),K335*G335*C330,"")</f>
        <v/>
      </c>
      <c r="S335" s="102" t="s">
        <v>172</v>
      </c>
      <c r="T335" s="108"/>
      <c r="U335" s="36"/>
      <c r="V335" s="36"/>
      <c r="W335" s="36"/>
      <c r="X335" s="36"/>
      <c r="Y335" s="36"/>
      <c r="Z335" s="36"/>
      <c r="AA335" s="36"/>
      <c r="AB335" s="36"/>
      <c r="AC335" s="36"/>
      <c r="AD335" s="36"/>
      <c r="AE335" s="36"/>
      <c r="AF335" s="36"/>
      <c r="AG335" s="36"/>
      <c r="AH335" s="36"/>
      <c r="AI335" s="36"/>
      <c r="AJ335" s="36"/>
      <c r="AK335" s="36"/>
      <c r="AL335" s="36"/>
      <c r="AM335" s="36"/>
      <c r="AN335" s="37"/>
      <c r="AO335" s="37"/>
      <c r="AP335" s="37"/>
      <c r="AQ335" s="37"/>
      <c r="AR335" s="37"/>
      <c r="AS335" s="37"/>
      <c r="AT335" s="37"/>
      <c r="AU335" s="37"/>
      <c r="AV335" s="37"/>
      <c r="AW335" s="37"/>
      <c r="AX335" s="37"/>
      <c r="AY335" s="37"/>
      <c r="AZ335" s="37"/>
      <c r="BA335" s="37"/>
      <c r="BB335" s="37"/>
      <c r="BC335" s="37"/>
      <c r="BD335" s="37"/>
      <c r="BE335" s="37"/>
    </row>
    <row r="336" spans="2:57" s="31" customFormat="1" ht="15.5" x14ac:dyDescent="0.3">
      <c r="B336" s="155" t="s">
        <v>543</v>
      </c>
      <c r="C336" s="395" t="s">
        <v>283</v>
      </c>
      <c r="D336" s="395"/>
      <c r="G336" s="156"/>
      <c r="H336" s="84" t="s">
        <v>5</v>
      </c>
      <c r="J336" s="33" t="str">
        <f>IF(C336="Kuljetus","Ei oletusta","Oletus (" &amp; IF(C336="Tiekuljetus",Kalusto!$C$105,IF(C336="Raidekuljetus",Kalusto!$C$106,IF(C336="Laivarahti",Kalusto!$C$107,Kalusto!$C$108))) &amp; ")" )</f>
        <v>Oletus (Puoliperävaunuyhdistelmä, 40 t, 100 % kuorma, maantieajo)</v>
      </c>
      <c r="K336" s="96">
        <f>IF(ISNUMBER(L336),L336,IF(C336=Pudotusvalikot!$N$4,Kalusto!$G$105,IF(C336=Pudotusvalikot!$N$5,Kalusto!$G$106,IF(C336=Pudotusvalikot!$N$6,Kalusto!$G$107,IF(C336=Pudotusvalikot!$N$7,Kalusto!$G$108,"--")))))</f>
        <v>4.9950000000000001E-2</v>
      </c>
      <c r="L336" s="40"/>
      <c r="M336" s="41" t="s">
        <v>200</v>
      </c>
      <c r="N336" s="41"/>
      <c r="O336" s="256"/>
      <c r="Q336" s="35"/>
      <c r="R336" s="50" t="str">
        <f>IF(AND(ISNUMBER(G332)*ISNUMBER(C330)),K336*G336*C330,"")</f>
        <v/>
      </c>
      <c r="S336" s="102" t="s">
        <v>172</v>
      </c>
      <c r="T336" s="108"/>
      <c r="U336" s="36"/>
      <c r="V336" s="36"/>
      <c r="W336" s="36"/>
      <c r="X336" s="36"/>
      <c r="Y336" s="36"/>
      <c r="Z336" s="36"/>
      <c r="AA336" s="36"/>
      <c r="AB336" s="36"/>
      <c r="AC336" s="36"/>
      <c r="AD336" s="36"/>
      <c r="AE336" s="36"/>
      <c r="AF336" s="36"/>
      <c r="AG336" s="36"/>
      <c r="AH336" s="36"/>
      <c r="AI336" s="36"/>
      <c r="AJ336" s="36"/>
      <c r="AK336" s="36"/>
      <c r="AL336" s="36"/>
      <c r="AM336" s="36"/>
      <c r="AN336" s="37"/>
      <c r="AO336" s="37"/>
      <c r="AP336" s="37"/>
      <c r="AQ336" s="37"/>
      <c r="AR336" s="37"/>
      <c r="AS336" s="37"/>
      <c r="AT336" s="37"/>
      <c r="AU336" s="37"/>
      <c r="AV336" s="37"/>
      <c r="AW336" s="37"/>
      <c r="AX336" s="37"/>
      <c r="AY336" s="37"/>
      <c r="AZ336" s="37"/>
      <c r="BA336" s="37"/>
      <c r="BB336" s="37"/>
      <c r="BC336" s="37"/>
      <c r="BD336" s="37"/>
      <c r="BE336" s="37"/>
    </row>
    <row r="337" spans="2:59" s="31" customFormat="1" ht="15.5" x14ac:dyDescent="0.3">
      <c r="C337" s="34"/>
      <c r="D337" s="84"/>
      <c r="G337" s="34"/>
      <c r="H337" s="84"/>
      <c r="J337" s="33"/>
      <c r="K337" s="34"/>
      <c r="L337" s="34"/>
      <c r="M337" s="84"/>
      <c r="N337" s="84"/>
      <c r="O337" s="255"/>
      <c r="Q337" s="35"/>
      <c r="R337" s="99"/>
      <c r="S337" s="36"/>
      <c r="T337" s="36"/>
      <c r="U337" s="36"/>
      <c r="V337" s="36"/>
      <c r="W337" s="36"/>
      <c r="X337" s="36"/>
      <c r="Y337" s="36"/>
      <c r="Z337" s="36"/>
      <c r="AA337" s="36"/>
      <c r="AB337" s="36"/>
      <c r="AC337" s="36"/>
      <c r="AD337" s="36"/>
      <c r="AE337" s="36"/>
      <c r="AF337" s="36"/>
      <c r="AG337" s="36"/>
      <c r="AH337" s="36"/>
      <c r="AI337" s="36"/>
      <c r="AJ337" s="36"/>
      <c r="AK337" s="36"/>
      <c r="AL337" s="36"/>
      <c r="AM337" s="36"/>
      <c r="AN337" s="37"/>
      <c r="AO337" s="37"/>
      <c r="AP337" s="37"/>
      <c r="AQ337" s="37"/>
      <c r="AR337" s="37"/>
      <c r="AS337" s="37"/>
      <c r="AT337" s="37"/>
      <c r="AU337" s="37"/>
      <c r="AV337" s="37"/>
      <c r="AW337" s="37"/>
      <c r="AX337" s="37"/>
      <c r="AY337" s="37"/>
      <c r="AZ337" s="37"/>
      <c r="BA337" s="37"/>
      <c r="BB337" s="37"/>
      <c r="BC337" s="37"/>
      <c r="BD337" s="37"/>
      <c r="BE337" s="37"/>
    </row>
    <row r="338" spans="2:59" s="298" customFormat="1" ht="18" x14ac:dyDescent="0.3">
      <c r="B338" s="295" t="s">
        <v>544</v>
      </c>
      <c r="C338" s="296"/>
      <c r="D338" s="297"/>
      <c r="G338" s="296"/>
      <c r="H338" s="297"/>
      <c r="K338" s="299"/>
      <c r="L338" s="299"/>
      <c r="M338" s="297"/>
      <c r="N338" s="297"/>
      <c r="O338" s="300"/>
      <c r="Q338" s="301"/>
      <c r="R338" s="302"/>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4"/>
      <c r="AO338" s="304"/>
      <c r="AP338" s="304"/>
      <c r="AQ338" s="304"/>
      <c r="AR338" s="304"/>
      <c r="AS338" s="304"/>
      <c r="AT338" s="304"/>
      <c r="AU338" s="304"/>
      <c r="AV338" s="304"/>
      <c r="AW338" s="304"/>
      <c r="AX338" s="304"/>
      <c r="AY338" s="304"/>
      <c r="AZ338" s="304"/>
      <c r="BA338" s="304"/>
      <c r="BB338" s="304"/>
      <c r="BC338" s="304"/>
      <c r="BD338" s="304"/>
      <c r="BE338" s="304"/>
    </row>
    <row r="339" spans="2:59" s="31" customFormat="1" ht="15.5" x14ac:dyDescent="0.3">
      <c r="B339" s="9"/>
      <c r="C339" s="34"/>
      <c r="D339" s="84"/>
      <c r="G339" s="34"/>
      <c r="H339" s="84"/>
      <c r="J339" s="33"/>
      <c r="K339" s="38" t="s">
        <v>329</v>
      </c>
      <c r="L339" s="38" t="s">
        <v>201</v>
      </c>
      <c r="O339" s="255" t="s">
        <v>644</v>
      </c>
      <c r="P339" s="69"/>
      <c r="Q339" s="108"/>
      <c r="R339" s="36" t="s">
        <v>350</v>
      </c>
      <c r="S339" s="108"/>
      <c r="T339" s="36" t="s">
        <v>50</v>
      </c>
      <c r="U339" s="36" t="s">
        <v>208</v>
      </c>
      <c r="V339" s="36" t="s">
        <v>352</v>
      </c>
      <c r="W339" s="36"/>
      <c r="X339" s="36"/>
      <c r="Y339" s="36"/>
      <c r="Z339" s="36"/>
      <c r="AA339" s="36"/>
      <c r="AB339" s="36"/>
      <c r="AC339" s="36"/>
      <c r="AD339" s="36"/>
      <c r="AE339" s="36"/>
      <c r="AF339" s="36"/>
      <c r="AG339" s="36"/>
      <c r="AH339" s="36"/>
      <c r="AI339" s="36"/>
      <c r="AJ339" s="36"/>
      <c r="AK339" s="36"/>
      <c r="AL339" s="36"/>
      <c r="AM339" s="36"/>
      <c r="AN339" s="36"/>
      <c r="AO339" s="36"/>
      <c r="AP339" s="37"/>
      <c r="AQ339" s="37"/>
      <c r="AR339" s="37"/>
      <c r="AS339" s="37"/>
      <c r="AT339" s="37"/>
      <c r="AU339" s="37"/>
      <c r="AV339" s="37"/>
      <c r="AW339" s="37"/>
      <c r="AX339" s="37"/>
      <c r="AY339" s="37"/>
      <c r="AZ339" s="37"/>
      <c r="BA339" s="37"/>
      <c r="BB339" s="37"/>
      <c r="BC339" s="37"/>
      <c r="BD339" s="37"/>
      <c r="BE339" s="37"/>
      <c r="BF339" s="37"/>
      <c r="BG339" s="37"/>
    </row>
    <row r="340" spans="2:59" s="31" customFormat="1" ht="15.5" x14ac:dyDescent="0.3">
      <c r="B340" s="155" t="s">
        <v>545</v>
      </c>
      <c r="C340" s="194"/>
      <c r="D340" s="84" t="s">
        <v>210</v>
      </c>
      <c r="G340" s="34"/>
      <c r="H340" s="84"/>
      <c r="J340" s="33" t="s">
        <v>470</v>
      </c>
      <c r="K340" s="96">
        <f>IF(ISNUMBER(L340),L340,IF(OR(C341=Pudotusvalikot!$D$67,C341=Pudotusvalikot!$D$68),"--",VLOOKUP(C341,Kalusto!$C$5:$E$42,3,FALSE)*IF(OR(C342=Pudotusvalikot!$V$3,C342=Pudotusvalikot!$V$4),Muut!$E$38,IF(C342=Pudotusvalikot!$V$5,Muut!$E$39,IF(C342=Pudotusvalikot!$V$6,Muut!$E$40,Muut!$E$41)))))</f>
        <v>34.130000000000003</v>
      </c>
      <c r="L340" s="40"/>
      <c r="M340" s="41" t="s">
        <v>205</v>
      </c>
      <c r="N340" s="41"/>
      <c r="O340" s="256"/>
      <c r="P340" s="69"/>
      <c r="Q340" s="108"/>
      <c r="R340" s="50" t="str">
        <f>IF(ISNUMBER(K340*V340),K340*V340,"")</f>
        <v/>
      </c>
      <c r="S340" s="102" t="s">
        <v>172</v>
      </c>
      <c r="T340" s="50" t="str">
        <f>IF(ISNUMBER(C340),C340,"")</f>
        <v/>
      </c>
      <c r="U340" s="64" t="str">
        <f>IF(D343="h","",IF(ISNUMBER(C343),C343,""))</f>
        <v/>
      </c>
      <c r="V340" s="50" t="str">
        <f>IF(ISNUMBER(T340),IF(D343="h",D343,IF(ISNUMBER(T340*U340),IF(D343="m3/h",T340/U340,T340*U340),"")),"")</f>
        <v/>
      </c>
      <c r="W340" s="36"/>
      <c r="X340" s="36"/>
      <c r="Y340" s="36"/>
      <c r="Z340" s="36"/>
      <c r="AA340" s="36"/>
      <c r="AB340" s="36"/>
      <c r="AC340" s="36"/>
      <c r="AD340" s="36"/>
      <c r="AE340" s="36"/>
      <c r="AF340" s="36"/>
      <c r="AG340" s="36"/>
      <c r="AH340" s="36"/>
      <c r="AI340" s="36"/>
      <c r="AJ340" s="36"/>
      <c r="AK340" s="36"/>
      <c r="AL340" s="36"/>
      <c r="AM340" s="36"/>
      <c r="AN340" s="36"/>
      <c r="AO340" s="36"/>
      <c r="AP340" s="37"/>
      <c r="AQ340" s="37"/>
      <c r="AR340" s="37"/>
      <c r="AS340" s="37"/>
      <c r="AT340" s="37"/>
      <c r="AU340" s="37"/>
      <c r="AV340" s="37"/>
      <c r="AW340" s="37"/>
      <c r="AX340" s="37"/>
      <c r="AY340" s="37"/>
      <c r="AZ340" s="37"/>
      <c r="BA340" s="37"/>
      <c r="BB340" s="37"/>
      <c r="BC340" s="37"/>
      <c r="BD340" s="37"/>
      <c r="BE340" s="37"/>
      <c r="BF340" s="37"/>
      <c r="BG340" s="37"/>
    </row>
    <row r="341" spans="2:59" s="31" customFormat="1" ht="15.5" x14ac:dyDescent="0.3">
      <c r="B341" s="54" t="s">
        <v>510</v>
      </c>
      <c r="C341" s="392" t="s">
        <v>128</v>
      </c>
      <c r="D341" s="393"/>
      <c r="E341" s="393"/>
      <c r="F341" s="393"/>
      <c r="G341" s="394"/>
      <c r="J341" s="33"/>
      <c r="O341" s="264"/>
      <c r="P341" s="69"/>
      <c r="Q341" s="108"/>
      <c r="R341" s="36"/>
      <c r="S341" s="108"/>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7"/>
      <c r="AQ341" s="37"/>
      <c r="AR341" s="37"/>
      <c r="AS341" s="37"/>
      <c r="AT341" s="37"/>
      <c r="AU341" s="37"/>
      <c r="AV341" s="37"/>
      <c r="AW341" s="37"/>
      <c r="AX341" s="37"/>
      <c r="AY341" s="37"/>
      <c r="AZ341" s="37"/>
      <c r="BA341" s="37"/>
      <c r="BB341" s="37"/>
      <c r="BC341" s="37"/>
      <c r="BD341" s="37"/>
      <c r="BE341" s="37"/>
      <c r="BF341" s="37"/>
      <c r="BG341" s="37"/>
    </row>
    <row r="342" spans="2:59" s="31" customFormat="1" ht="15.5" x14ac:dyDescent="0.3">
      <c r="B342" s="170" t="s">
        <v>509</v>
      </c>
      <c r="C342" s="160" t="s">
        <v>242</v>
      </c>
      <c r="D342" s="34"/>
      <c r="E342" s="34"/>
      <c r="F342" s="34"/>
      <c r="G342" s="34"/>
      <c r="H342" s="59"/>
      <c r="J342" s="173"/>
      <c r="K342" s="173"/>
      <c r="L342" s="173"/>
      <c r="M342" s="41"/>
      <c r="N342" s="41"/>
      <c r="O342" s="256"/>
      <c r="Q342" s="47"/>
      <c r="R342" s="61"/>
      <c r="S342" s="102"/>
      <c r="T342" s="36"/>
      <c r="U342" s="36"/>
      <c r="V342" s="181"/>
      <c r="W342" s="181"/>
      <c r="X342" s="61"/>
      <c r="Y342" s="36"/>
      <c r="Z342" s="61"/>
      <c r="AA342" s="182"/>
      <c r="AB342" s="61"/>
      <c r="AC342" s="61"/>
      <c r="AD342" s="61"/>
      <c r="AE342" s="61"/>
      <c r="AF342" s="182"/>
      <c r="AG342" s="61"/>
      <c r="AH342" s="36"/>
      <c r="AI342" s="36"/>
      <c r="AJ342" s="36"/>
      <c r="AK342" s="108"/>
      <c r="AL342" s="36"/>
      <c r="AM342" s="36"/>
      <c r="AN342" s="37"/>
      <c r="AO342" s="37"/>
      <c r="AP342" s="37"/>
      <c r="AQ342" s="37"/>
      <c r="AR342" s="37"/>
      <c r="AS342" s="37"/>
      <c r="AT342" s="37"/>
      <c r="AU342" s="37"/>
      <c r="AV342" s="37"/>
      <c r="AW342" s="37"/>
      <c r="AX342" s="37"/>
      <c r="AY342" s="37"/>
      <c r="AZ342" s="37"/>
      <c r="BA342" s="37"/>
      <c r="BB342" s="37"/>
      <c r="BC342" s="37"/>
      <c r="BD342" s="37"/>
      <c r="BE342" s="37"/>
    </row>
    <row r="343" spans="2:59" s="31" customFormat="1" ht="31" x14ac:dyDescent="0.3">
      <c r="B343" s="78" t="s">
        <v>511</v>
      </c>
      <c r="C343" s="193"/>
      <c r="D343" s="89" t="s">
        <v>209</v>
      </c>
      <c r="G343" s="34"/>
      <c r="H343" s="84"/>
      <c r="J343" s="33"/>
      <c r="O343" s="264"/>
      <c r="P343" s="69"/>
      <c r="Q343" s="108"/>
      <c r="R343" s="36"/>
      <c r="S343" s="108"/>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7"/>
      <c r="AQ343" s="37"/>
      <c r="AR343" s="37"/>
      <c r="AS343" s="37"/>
      <c r="AT343" s="37"/>
      <c r="AU343" s="37"/>
      <c r="AV343" s="37"/>
      <c r="AW343" s="37"/>
      <c r="AX343" s="37"/>
      <c r="AY343" s="37"/>
      <c r="AZ343" s="37"/>
      <c r="BA343" s="37"/>
      <c r="BB343" s="37"/>
      <c r="BC343" s="37"/>
      <c r="BD343" s="37"/>
      <c r="BE343" s="37"/>
      <c r="BF343" s="37"/>
      <c r="BG343" s="37"/>
    </row>
    <row r="344" spans="2:59" s="31" customFormat="1" ht="15.5" x14ac:dyDescent="0.3">
      <c r="B344" s="54"/>
      <c r="C344" s="80"/>
      <c r="D344" s="84"/>
      <c r="G344" s="34"/>
      <c r="H344" s="84"/>
      <c r="J344" s="33"/>
      <c r="K344" s="38" t="s">
        <v>329</v>
      </c>
      <c r="L344" s="38" t="s">
        <v>201</v>
      </c>
      <c r="O344" s="264"/>
      <c r="P344" s="69"/>
      <c r="Q344" s="108"/>
      <c r="R344" s="36" t="s">
        <v>350</v>
      </c>
      <c r="S344" s="108"/>
      <c r="T344" s="36" t="s">
        <v>50</v>
      </c>
      <c r="U344" s="36" t="s">
        <v>208</v>
      </c>
      <c r="V344" s="36" t="s">
        <v>352</v>
      </c>
      <c r="W344" s="36"/>
      <c r="X344" s="36"/>
      <c r="Y344" s="36"/>
      <c r="Z344" s="36"/>
      <c r="AA344" s="36"/>
      <c r="AB344" s="36"/>
      <c r="AC344" s="36"/>
      <c r="AD344" s="36"/>
      <c r="AE344" s="36"/>
      <c r="AF344" s="36"/>
      <c r="AG344" s="36"/>
      <c r="AH344" s="36"/>
      <c r="AI344" s="36"/>
      <c r="AJ344" s="36"/>
      <c r="AK344" s="36"/>
      <c r="AL344" s="36"/>
      <c r="AM344" s="36"/>
      <c r="AN344" s="36"/>
      <c r="AO344" s="36"/>
      <c r="AP344" s="37"/>
      <c r="AQ344" s="37"/>
      <c r="AR344" s="37"/>
      <c r="AS344" s="37"/>
      <c r="AT344" s="37"/>
      <c r="AU344" s="37"/>
      <c r="AV344" s="37"/>
      <c r="AW344" s="37"/>
      <c r="AX344" s="37"/>
      <c r="AY344" s="37"/>
      <c r="AZ344" s="37"/>
      <c r="BA344" s="37"/>
      <c r="BB344" s="37"/>
      <c r="BC344" s="37"/>
      <c r="BD344" s="37"/>
      <c r="BE344" s="37"/>
      <c r="BF344" s="37"/>
      <c r="BG344" s="37"/>
    </row>
    <row r="345" spans="2:59" s="31" customFormat="1" ht="15.5" x14ac:dyDescent="0.3">
      <c r="B345" s="155" t="s">
        <v>546</v>
      </c>
      <c r="C345" s="194"/>
      <c r="D345" s="84" t="s">
        <v>210</v>
      </c>
      <c r="G345" s="34"/>
      <c r="H345" s="84"/>
      <c r="J345" s="33" t="s">
        <v>470</v>
      </c>
      <c r="K345" s="96">
        <f>IF(ISNUMBER(L345),L345,IF(OR(C346=Pudotusvalikot!$D$67,C346=Pudotusvalikot!$D$68),"--",VLOOKUP(C346,Kalusto!$C$5:$E$42,3,FALSE)*IF(OR(C347=Pudotusvalikot!$V$3,C347=Pudotusvalikot!$V$4),Muut!$E$38,IF(C347=Pudotusvalikot!$V$5,Muut!$E$39,IF(C347=Pudotusvalikot!$V$6,Muut!$E$40,Muut!$E$41)))))</f>
        <v>34.130000000000003</v>
      </c>
      <c r="L345" s="40"/>
      <c r="M345" s="41" t="s">
        <v>205</v>
      </c>
      <c r="N345" s="41"/>
      <c r="O345" s="256"/>
      <c r="P345" s="69"/>
      <c r="Q345" s="108"/>
      <c r="R345" s="50" t="str">
        <f>IF(ISNUMBER(K345*V345),K345*V345,"")</f>
        <v/>
      </c>
      <c r="S345" s="102" t="s">
        <v>172</v>
      </c>
      <c r="T345" s="50" t="str">
        <f>IF(ISNUMBER(C345),C345,"")</f>
        <v/>
      </c>
      <c r="U345" s="64" t="str">
        <f>IF(D348="h","",IF(ISNUMBER(C348),C348,""))</f>
        <v/>
      </c>
      <c r="V345" s="50" t="str">
        <f>IF(ISNUMBER(T345),IF(D348="h",D348,IF(ISNUMBER(T345*U345),IF(D348="m3/h",T345/U345,T345*U345),"")),"")</f>
        <v/>
      </c>
      <c r="W345" s="36"/>
      <c r="X345" s="36"/>
      <c r="Y345" s="36"/>
      <c r="Z345" s="36"/>
      <c r="AA345" s="36"/>
      <c r="AB345" s="36"/>
      <c r="AC345" s="36"/>
      <c r="AD345" s="36"/>
      <c r="AE345" s="36"/>
      <c r="AF345" s="36"/>
      <c r="AG345" s="36"/>
      <c r="AH345" s="36"/>
      <c r="AI345" s="36"/>
      <c r="AJ345" s="36"/>
      <c r="AK345" s="36"/>
      <c r="AL345" s="36"/>
      <c r="AM345" s="36"/>
      <c r="AN345" s="36"/>
      <c r="AO345" s="36"/>
      <c r="AP345" s="37"/>
      <c r="AQ345" s="37"/>
      <c r="AR345" s="37"/>
      <c r="AS345" s="37"/>
      <c r="AT345" s="37"/>
      <c r="AU345" s="37"/>
      <c r="AV345" s="37"/>
      <c r="AW345" s="37"/>
      <c r="AX345" s="37"/>
      <c r="AY345" s="37"/>
      <c r="AZ345" s="37"/>
      <c r="BA345" s="37"/>
      <c r="BB345" s="37"/>
      <c r="BC345" s="37"/>
      <c r="BD345" s="37"/>
      <c r="BE345" s="37"/>
      <c r="BF345" s="37"/>
      <c r="BG345" s="37"/>
    </row>
    <row r="346" spans="2:59" s="31" customFormat="1" ht="15.5" x14ac:dyDescent="0.3">
      <c r="B346" s="54" t="s">
        <v>510</v>
      </c>
      <c r="C346" s="392" t="s">
        <v>128</v>
      </c>
      <c r="D346" s="393"/>
      <c r="E346" s="393"/>
      <c r="F346" s="393"/>
      <c r="G346" s="394"/>
      <c r="H346" s="31" t="s">
        <v>203</v>
      </c>
      <c r="J346" s="33"/>
      <c r="O346" s="264"/>
      <c r="P346" s="69"/>
      <c r="Q346" s="108"/>
      <c r="R346" s="36"/>
      <c r="S346" s="108"/>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7"/>
      <c r="AQ346" s="37"/>
      <c r="AR346" s="37"/>
      <c r="AS346" s="37"/>
      <c r="AT346" s="37"/>
      <c r="AU346" s="37"/>
      <c r="AV346" s="37"/>
      <c r="AW346" s="37"/>
      <c r="AX346" s="37"/>
      <c r="AY346" s="37"/>
      <c r="AZ346" s="37"/>
      <c r="BA346" s="37"/>
      <c r="BB346" s="37"/>
      <c r="BC346" s="37"/>
      <c r="BD346" s="37"/>
      <c r="BE346" s="37"/>
      <c r="BF346" s="37"/>
      <c r="BG346" s="37"/>
    </row>
    <row r="347" spans="2:59" s="31" customFormat="1" ht="15.5" x14ac:dyDescent="0.3">
      <c r="B347" s="170" t="s">
        <v>509</v>
      </c>
      <c r="C347" s="160" t="s">
        <v>242</v>
      </c>
      <c r="D347" s="34"/>
      <c r="E347" s="34"/>
      <c r="F347" s="34"/>
      <c r="G347" s="34"/>
      <c r="H347" s="59"/>
      <c r="J347" s="173"/>
      <c r="K347" s="173"/>
      <c r="L347" s="173"/>
      <c r="M347" s="41"/>
      <c r="N347" s="41"/>
      <c r="O347" s="256"/>
      <c r="Q347" s="47"/>
      <c r="R347" s="61"/>
      <c r="S347" s="102"/>
      <c r="T347" s="36"/>
      <c r="U347" s="36"/>
      <c r="V347" s="181"/>
      <c r="W347" s="181"/>
      <c r="X347" s="61"/>
      <c r="Y347" s="36"/>
      <c r="Z347" s="61"/>
      <c r="AA347" s="182"/>
      <c r="AB347" s="61"/>
      <c r="AC347" s="61"/>
      <c r="AD347" s="61"/>
      <c r="AE347" s="61"/>
      <c r="AF347" s="182"/>
      <c r="AG347" s="61"/>
      <c r="AH347" s="36"/>
      <c r="AI347" s="36"/>
      <c r="AJ347" s="36"/>
      <c r="AK347" s="108"/>
      <c r="AL347" s="36"/>
      <c r="AM347" s="36"/>
      <c r="AN347" s="37"/>
      <c r="AO347" s="37"/>
      <c r="AP347" s="37"/>
      <c r="AQ347" s="37"/>
      <c r="AR347" s="37"/>
      <c r="AS347" s="37"/>
      <c r="AT347" s="37"/>
      <c r="AU347" s="37"/>
      <c r="AV347" s="37"/>
      <c r="AW347" s="37"/>
      <c r="AX347" s="37"/>
      <c r="AY347" s="37"/>
      <c r="AZ347" s="37"/>
      <c r="BA347" s="37"/>
      <c r="BB347" s="37"/>
      <c r="BC347" s="37"/>
      <c r="BD347" s="37"/>
      <c r="BE347" s="37"/>
    </row>
    <row r="348" spans="2:59" s="31" customFormat="1" ht="31" x14ac:dyDescent="0.3">
      <c r="B348" s="78" t="s">
        <v>511</v>
      </c>
      <c r="C348" s="193"/>
      <c r="D348" s="89" t="s">
        <v>209</v>
      </c>
      <c r="E348" s="31" t="s">
        <v>203</v>
      </c>
      <c r="G348" s="34"/>
      <c r="H348" s="84"/>
      <c r="J348" s="33"/>
      <c r="O348" s="264"/>
      <c r="P348" s="69"/>
      <c r="Q348" s="108"/>
      <c r="R348" s="36"/>
      <c r="S348" s="108"/>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7"/>
      <c r="AQ348" s="37"/>
      <c r="AR348" s="37"/>
      <c r="AS348" s="37"/>
      <c r="AT348" s="37"/>
      <c r="AU348" s="37"/>
      <c r="AV348" s="37"/>
      <c r="AW348" s="37"/>
      <c r="AX348" s="37"/>
      <c r="AY348" s="37"/>
      <c r="AZ348" s="37"/>
      <c r="BA348" s="37"/>
      <c r="BB348" s="37"/>
      <c r="BC348" s="37"/>
      <c r="BD348" s="37"/>
      <c r="BE348" s="37"/>
      <c r="BF348" s="37"/>
      <c r="BG348" s="37"/>
    </row>
    <row r="349" spans="2:59" s="31" customFormat="1" ht="15.5" x14ac:dyDescent="0.3">
      <c r="B349" s="54"/>
      <c r="C349" s="80"/>
      <c r="D349" s="84"/>
      <c r="G349" s="34"/>
      <c r="H349" s="84"/>
      <c r="J349" s="33"/>
      <c r="K349" s="38" t="s">
        <v>329</v>
      </c>
      <c r="L349" s="38" t="s">
        <v>201</v>
      </c>
      <c r="O349" s="264"/>
      <c r="P349" s="69"/>
      <c r="Q349" s="108"/>
      <c r="R349" s="36" t="s">
        <v>350</v>
      </c>
      <c r="S349" s="108"/>
      <c r="T349" s="36" t="s">
        <v>50</v>
      </c>
      <c r="U349" s="36" t="s">
        <v>208</v>
      </c>
      <c r="V349" s="36" t="s">
        <v>352</v>
      </c>
      <c r="W349" s="36"/>
      <c r="X349" s="36"/>
      <c r="Y349" s="36"/>
      <c r="Z349" s="36"/>
      <c r="AA349" s="36"/>
      <c r="AB349" s="36"/>
      <c r="AC349" s="36"/>
      <c r="AD349" s="36"/>
      <c r="AE349" s="36"/>
      <c r="AF349" s="36"/>
      <c r="AG349" s="36"/>
      <c r="AH349" s="36"/>
      <c r="AI349" s="36"/>
      <c r="AJ349" s="36"/>
      <c r="AK349" s="36"/>
      <c r="AL349" s="36"/>
      <c r="AM349" s="36"/>
      <c r="AN349" s="36"/>
      <c r="AO349" s="36"/>
      <c r="AP349" s="37"/>
      <c r="AQ349" s="37"/>
      <c r="AR349" s="37"/>
      <c r="AS349" s="37"/>
      <c r="AT349" s="37"/>
      <c r="AU349" s="37"/>
      <c r="AV349" s="37"/>
      <c r="AW349" s="37"/>
      <c r="AX349" s="37"/>
      <c r="AY349" s="37"/>
      <c r="AZ349" s="37"/>
      <c r="BA349" s="37"/>
      <c r="BB349" s="37"/>
      <c r="BC349" s="37"/>
      <c r="BD349" s="37"/>
      <c r="BE349" s="37"/>
      <c r="BF349" s="37"/>
      <c r="BG349" s="37"/>
    </row>
    <row r="350" spans="2:59" s="31" customFormat="1" ht="15.5" x14ac:dyDescent="0.3">
      <c r="B350" s="155" t="s">
        <v>547</v>
      </c>
      <c r="C350" s="194"/>
      <c r="D350" s="84" t="s">
        <v>210</v>
      </c>
      <c r="G350" s="34"/>
      <c r="H350" s="84"/>
      <c r="J350" s="33" t="s">
        <v>470</v>
      </c>
      <c r="K350" s="96">
        <f>IF(ISNUMBER(L350),L350,IF(OR(C351=Pudotusvalikot!$D$67,C351=Pudotusvalikot!$D$68),"--",VLOOKUP(C351,Kalusto!$C$5:$E$42,3,FALSE)*IF(OR(C352=Pudotusvalikot!$V$3,C352=Pudotusvalikot!$V$4),Muut!$E$38,IF(C352=Pudotusvalikot!$V$5,Muut!$E$39,IF(C352=Pudotusvalikot!$V$6,Muut!$E$40,Muut!$E$41)))))</f>
        <v>34.130000000000003</v>
      </c>
      <c r="L350" s="63"/>
      <c r="M350" s="41" t="s">
        <v>205</v>
      </c>
      <c r="N350" s="41"/>
      <c r="O350" s="256"/>
      <c r="P350" s="69"/>
      <c r="Q350" s="108"/>
      <c r="R350" s="50" t="str">
        <f>IF(ISNUMBER(K350*V350),K350*V350,"")</f>
        <v/>
      </c>
      <c r="S350" s="102" t="s">
        <v>172</v>
      </c>
      <c r="T350" s="50" t="str">
        <f>IF(ISNUMBER(C350),C350,"")</f>
        <v/>
      </c>
      <c r="U350" s="64" t="str">
        <f>IF(D353="h","",IF(ISNUMBER(C353),C353,""))</f>
        <v/>
      </c>
      <c r="V350" s="50" t="str">
        <f>IF(ISNUMBER(T350),IF(D353="h",D353,IF(ISNUMBER(T350*U350),IF(D353="m3/h",T350/U350,T350*U350),"")),"")</f>
        <v/>
      </c>
      <c r="W350" s="36"/>
      <c r="X350" s="36"/>
      <c r="Y350" s="36"/>
      <c r="Z350" s="36"/>
      <c r="AA350" s="36"/>
      <c r="AB350" s="36"/>
      <c r="AC350" s="36"/>
      <c r="AD350" s="36"/>
      <c r="AE350" s="36"/>
      <c r="AF350" s="36"/>
      <c r="AG350" s="36"/>
      <c r="AH350" s="36"/>
      <c r="AI350" s="36"/>
      <c r="AJ350" s="36"/>
      <c r="AK350" s="36"/>
      <c r="AL350" s="36"/>
      <c r="AM350" s="36"/>
      <c r="AN350" s="36"/>
      <c r="AO350" s="36"/>
      <c r="AP350" s="37"/>
      <c r="AQ350" s="37"/>
      <c r="AR350" s="37"/>
      <c r="AS350" s="37"/>
      <c r="AT350" s="37"/>
      <c r="AU350" s="37"/>
      <c r="AV350" s="37"/>
      <c r="AW350" s="37"/>
      <c r="AX350" s="37"/>
      <c r="AY350" s="37"/>
      <c r="AZ350" s="37"/>
      <c r="BA350" s="37"/>
      <c r="BB350" s="37"/>
      <c r="BC350" s="37"/>
      <c r="BD350" s="37"/>
      <c r="BE350" s="37"/>
      <c r="BF350" s="37"/>
      <c r="BG350" s="37"/>
    </row>
    <row r="351" spans="2:59" s="31" customFormat="1" ht="15.5" x14ac:dyDescent="0.3">
      <c r="B351" s="54" t="s">
        <v>510</v>
      </c>
      <c r="C351" s="392" t="s">
        <v>128</v>
      </c>
      <c r="D351" s="393"/>
      <c r="E351" s="393"/>
      <c r="F351" s="393"/>
      <c r="G351" s="394"/>
      <c r="H351" s="31" t="s">
        <v>203</v>
      </c>
      <c r="J351" s="33"/>
      <c r="O351" s="264"/>
      <c r="P351" s="69"/>
      <c r="Q351" s="108"/>
      <c r="R351" s="98"/>
      <c r="S351" s="108"/>
      <c r="T351" s="37"/>
      <c r="U351" s="36"/>
      <c r="V351" s="36"/>
      <c r="W351" s="36"/>
      <c r="X351" s="36"/>
      <c r="Y351" s="36"/>
      <c r="Z351" s="36"/>
      <c r="AA351" s="36"/>
      <c r="AB351" s="36"/>
      <c r="AC351" s="36"/>
      <c r="AD351" s="36"/>
      <c r="AE351" s="36"/>
      <c r="AF351" s="36"/>
      <c r="AG351" s="36"/>
      <c r="AH351" s="36"/>
      <c r="AI351" s="36"/>
      <c r="AJ351" s="36"/>
      <c r="AK351" s="36"/>
      <c r="AL351" s="36"/>
      <c r="AM351" s="36"/>
      <c r="AN351" s="36"/>
      <c r="AO351" s="36"/>
      <c r="AP351" s="37"/>
      <c r="AQ351" s="37"/>
      <c r="AR351" s="37"/>
      <c r="AS351" s="37"/>
      <c r="AT351" s="37"/>
      <c r="AU351" s="37"/>
      <c r="AV351" s="37"/>
      <c r="AW351" s="37"/>
      <c r="AX351" s="37"/>
      <c r="AY351" s="37"/>
      <c r="AZ351" s="37"/>
      <c r="BA351" s="37"/>
      <c r="BB351" s="37"/>
      <c r="BC351" s="37"/>
      <c r="BD351" s="37"/>
      <c r="BE351" s="37"/>
      <c r="BF351" s="37"/>
      <c r="BG351" s="37"/>
    </row>
    <row r="352" spans="2:59" s="31" customFormat="1" ht="15.5" x14ac:dyDescent="0.3">
      <c r="B352" s="170" t="s">
        <v>509</v>
      </c>
      <c r="C352" s="160" t="s">
        <v>242</v>
      </c>
      <c r="D352" s="34"/>
      <c r="E352" s="34"/>
      <c r="F352" s="34"/>
      <c r="G352" s="34"/>
      <c r="H352" s="59"/>
      <c r="J352" s="173"/>
      <c r="K352" s="173"/>
      <c r="L352" s="173"/>
      <c r="M352" s="41"/>
      <c r="N352" s="41"/>
      <c r="O352" s="256"/>
      <c r="Q352" s="47"/>
      <c r="R352" s="61"/>
      <c r="S352" s="102"/>
      <c r="T352" s="36"/>
      <c r="U352" s="36"/>
      <c r="V352" s="181"/>
      <c r="W352" s="181"/>
      <c r="X352" s="61"/>
      <c r="Y352" s="36"/>
      <c r="Z352" s="61"/>
      <c r="AA352" s="182"/>
      <c r="AB352" s="61"/>
      <c r="AC352" s="61"/>
      <c r="AD352" s="61"/>
      <c r="AE352" s="61"/>
      <c r="AF352" s="182"/>
      <c r="AG352" s="61"/>
      <c r="AH352" s="36"/>
      <c r="AI352" s="36"/>
      <c r="AJ352" s="36"/>
      <c r="AK352" s="108"/>
      <c r="AL352" s="36"/>
      <c r="AM352" s="36"/>
      <c r="AN352" s="37"/>
      <c r="AO352" s="37"/>
      <c r="AP352" s="37"/>
      <c r="AQ352" s="37"/>
      <c r="AR352" s="37"/>
      <c r="AS352" s="37"/>
      <c r="AT352" s="37"/>
      <c r="AU352" s="37"/>
      <c r="AV352" s="37"/>
      <c r="AW352" s="37"/>
      <c r="AX352" s="37"/>
      <c r="AY352" s="37"/>
      <c r="AZ352" s="37"/>
      <c r="BA352" s="37"/>
      <c r="BB352" s="37"/>
      <c r="BC352" s="37"/>
      <c r="BD352" s="37"/>
      <c r="BE352" s="37"/>
    </row>
    <row r="353" spans="2:59" s="31" customFormat="1" ht="31" x14ac:dyDescent="0.3">
      <c r="B353" s="78" t="s">
        <v>511</v>
      </c>
      <c r="C353" s="193"/>
      <c r="D353" s="89" t="s">
        <v>209</v>
      </c>
      <c r="E353" s="31" t="s">
        <v>203</v>
      </c>
      <c r="G353" s="34"/>
      <c r="H353" s="84"/>
      <c r="J353" s="33"/>
      <c r="O353" s="264"/>
      <c r="P353" s="69"/>
      <c r="Q353" s="108"/>
      <c r="R353" s="98"/>
      <c r="S353" s="108"/>
      <c r="T353" s="37"/>
      <c r="U353" s="36"/>
      <c r="V353" s="36"/>
      <c r="W353" s="36"/>
      <c r="X353" s="36"/>
      <c r="Y353" s="36"/>
      <c r="Z353" s="36"/>
      <c r="AA353" s="36"/>
      <c r="AB353" s="36"/>
      <c r="AC353" s="36"/>
      <c r="AD353" s="36"/>
      <c r="AE353" s="36"/>
      <c r="AF353" s="36"/>
      <c r="AG353" s="36"/>
      <c r="AH353" s="36"/>
      <c r="AI353" s="36"/>
      <c r="AJ353" s="36"/>
      <c r="AK353" s="36"/>
      <c r="AL353" s="36"/>
      <c r="AM353" s="36"/>
      <c r="AN353" s="36"/>
      <c r="AO353" s="36"/>
      <c r="AP353" s="37"/>
      <c r="AQ353" s="37"/>
      <c r="AR353" s="37"/>
      <c r="AS353" s="37"/>
      <c r="AT353" s="37"/>
      <c r="AU353" s="37"/>
      <c r="AV353" s="37"/>
      <c r="AW353" s="37"/>
      <c r="AX353" s="37"/>
      <c r="AY353" s="37"/>
      <c r="AZ353" s="37"/>
      <c r="BA353" s="37"/>
      <c r="BB353" s="37"/>
      <c r="BC353" s="37"/>
      <c r="BD353" s="37"/>
      <c r="BE353" s="37"/>
      <c r="BF353" s="37"/>
      <c r="BG353" s="37"/>
    </row>
    <row r="354" spans="2:59" s="31" customFormat="1" ht="15.5" x14ac:dyDescent="0.3">
      <c r="D354" s="84"/>
      <c r="H354" s="84"/>
      <c r="J354" s="33"/>
      <c r="K354" s="38" t="s">
        <v>329</v>
      </c>
      <c r="L354" s="38" t="s">
        <v>201</v>
      </c>
      <c r="M354" s="84"/>
      <c r="N354" s="84"/>
      <c r="O354" s="257"/>
      <c r="P354" s="69"/>
      <c r="Q354" s="108"/>
      <c r="R354" s="98"/>
      <c r="S354" s="108"/>
      <c r="T354" s="37"/>
      <c r="U354" s="36"/>
      <c r="V354" s="36"/>
      <c r="W354" s="36"/>
      <c r="X354" s="36"/>
      <c r="Y354" s="36"/>
      <c r="Z354" s="36"/>
      <c r="AA354" s="36"/>
      <c r="AB354" s="36"/>
      <c r="AC354" s="36"/>
      <c r="AD354" s="36"/>
      <c r="AE354" s="36"/>
      <c r="AF354" s="36"/>
      <c r="AG354" s="36"/>
      <c r="AH354" s="36"/>
      <c r="AI354" s="36"/>
      <c r="AJ354" s="36"/>
      <c r="AK354" s="36"/>
      <c r="AL354" s="36"/>
      <c r="AM354" s="36"/>
      <c r="AN354" s="37"/>
      <c r="AO354" s="37"/>
      <c r="AP354" s="37"/>
      <c r="AQ354" s="37"/>
      <c r="AR354" s="37"/>
      <c r="AS354" s="37"/>
      <c r="AT354" s="37"/>
      <c r="AU354" s="37"/>
      <c r="AV354" s="37"/>
      <c r="AW354" s="37"/>
      <c r="AX354" s="37"/>
      <c r="AY354" s="37"/>
      <c r="AZ354" s="37"/>
      <c r="BA354" s="37"/>
      <c r="BB354" s="37"/>
      <c r="BC354" s="37"/>
      <c r="BD354" s="37"/>
      <c r="BE354" s="37"/>
    </row>
    <row r="355" spans="2:59" s="31" customFormat="1" ht="15.5" x14ac:dyDescent="0.3">
      <c r="B355" s="54" t="s">
        <v>497</v>
      </c>
      <c r="C355" s="160"/>
      <c r="D355" s="84" t="s">
        <v>210</v>
      </c>
      <c r="G355" s="34"/>
      <c r="H355" s="84"/>
      <c r="J355" s="33" t="s">
        <v>492</v>
      </c>
      <c r="K355" s="96">
        <f>IF(ISNUMBER(L355),L355,Muut!$H$36)</f>
        <v>0.7</v>
      </c>
      <c r="L355" s="73"/>
      <c r="M355" s="84" t="s">
        <v>226</v>
      </c>
      <c r="N355" s="84"/>
      <c r="O355" s="257"/>
      <c r="Q355" s="35"/>
      <c r="R355" s="109">
        <f>IF(ISNUMBER(K355*C355),K355*C355,"")</f>
        <v>0</v>
      </c>
      <c r="S355" s="102" t="s">
        <v>172</v>
      </c>
      <c r="T355" s="36"/>
      <c r="U355" s="36"/>
      <c r="V355" s="36"/>
      <c r="W355" s="36"/>
      <c r="X355" s="36"/>
      <c r="Y355" s="36"/>
      <c r="Z355" s="36"/>
      <c r="AA355" s="36"/>
      <c r="AB355" s="36"/>
      <c r="AC355" s="36"/>
      <c r="AD355" s="36"/>
      <c r="AE355" s="36"/>
      <c r="AF355" s="36"/>
      <c r="AG355" s="36"/>
      <c r="AH355" s="36"/>
      <c r="AI355" s="36"/>
      <c r="AJ355" s="36"/>
      <c r="AK355" s="36"/>
      <c r="AL355" s="36"/>
      <c r="AM355" s="36"/>
      <c r="AN355" s="37"/>
      <c r="AO355" s="37"/>
      <c r="AP355" s="37"/>
      <c r="AQ355" s="37"/>
      <c r="AR355" s="37"/>
      <c r="AS355" s="37"/>
      <c r="AT355" s="37"/>
      <c r="AU355" s="37"/>
      <c r="AV355" s="37"/>
      <c r="AW355" s="37"/>
      <c r="AX355" s="37"/>
      <c r="AY355" s="37"/>
      <c r="AZ355" s="37"/>
      <c r="BA355" s="37"/>
      <c r="BB355" s="37"/>
      <c r="BC355" s="37"/>
      <c r="BD355" s="37"/>
      <c r="BE355" s="37"/>
    </row>
    <row r="356" spans="2:59" s="31" customFormat="1" ht="15.5" x14ac:dyDescent="0.3">
      <c r="B356" s="70" t="s">
        <v>490</v>
      </c>
      <c r="C356" s="97"/>
      <c r="D356" s="76" t="s">
        <v>210</v>
      </c>
      <c r="G356" s="34"/>
      <c r="H356" s="84"/>
      <c r="J356" s="71" t="s">
        <v>491</v>
      </c>
      <c r="K356" s="34"/>
      <c r="L356" s="34"/>
      <c r="M356" s="84"/>
      <c r="N356" s="84"/>
      <c r="O356" s="257"/>
      <c r="Q356" s="35"/>
      <c r="R356" s="99"/>
      <c r="S356" s="36"/>
      <c r="T356" s="36"/>
      <c r="U356" s="36"/>
      <c r="V356" s="36"/>
      <c r="W356" s="36"/>
      <c r="X356" s="36"/>
      <c r="Y356" s="36"/>
      <c r="Z356" s="36"/>
      <c r="AA356" s="36"/>
      <c r="AB356" s="36"/>
      <c r="AC356" s="36"/>
      <c r="AD356" s="36"/>
      <c r="AE356" s="36"/>
      <c r="AF356" s="36"/>
      <c r="AG356" s="36"/>
      <c r="AH356" s="36"/>
      <c r="AI356" s="36"/>
      <c r="AJ356" s="36"/>
      <c r="AK356" s="36"/>
      <c r="AL356" s="36"/>
      <c r="AM356" s="36"/>
      <c r="AN356" s="37"/>
      <c r="AO356" s="37"/>
      <c r="AP356" s="37"/>
      <c r="AQ356" s="37"/>
      <c r="AR356" s="37"/>
      <c r="AS356" s="37"/>
      <c r="AT356" s="37"/>
      <c r="AU356" s="37"/>
      <c r="AV356" s="37"/>
      <c r="AW356" s="37"/>
      <c r="AX356" s="37"/>
      <c r="AY356" s="37"/>
      <c r="AZ356" s="37"/>
      <c r="BA356" s="37"/>
      <c r="BB356" s="37"/>
      <c r="BC356" s="37"/>
      <c r="BD356" s="37"/>
      <c r="BE356" s="37"/>
    </row>
    <row r="357" spans="2:59" s="31" customFormat="1" ht="15.5" x14ac:dyDescent="0.3">
      <c r="B357" s="70" t="s">
        <v>13</v>
      </c>
      <c r="C357" s="97"/>
      <c r="D357" s="76" t="s">
        <v>210</v>
      </c>
      <c r="G357" s="34"/>
      <c r="H357" s="84"/>
      <c r="J357" s="71" t="s">
        <v>279</v>
      </c>
      <c r="K357" s="34"/>
      <c r="L357" s="34"/>
      <c r="M357" s="84"/>
      <c r="N357" s="84"/>
      <c r="O357" s="257"/>
      <c r="Q357" s="35"/>
      <c r="R357" s="99"/>
      <c r="S357" s="36"/>
      <c r="T357" s="36"/>
      <c r="U357" s="36"/>
      <c r="V357" s="36"/>
      <c r="W357" s="36"/>
      <c r="X357" s="36"/>
      <c r="Y357" s="36"/>
      <c r="Z357" s="36"/>
      <c r="AA357" s="36"/>
      <c r="AB357" s="36"/>
      <c r="AC357" s="36"/>
      <c r="AD357" s="36"/>
      <c r="AE357" s="36"/>
      <c r="AF357" s="36"/>
      <c r="AG357" s="36"/>
      <c r="AH357" s="36"/>
      <c r="AI357" s="36"/>
      <c r="AJ357" s="36"/>
      <c r="AK357" s="36"/>
      <c r="AL357" s="36"/>
      <c r="AM357" s="36"/>
      <c r="AN357" s="37"/>
      <c r="AO357" s="37"/>
      <c r="AP357" s="37"/>
      <c r="AQ357" s="37"/>
      <c r="AR357" s="37"/>
      <c r="AS357" s="37"/>
      <c r="AT357" s="37"/>
      <c r="AU357" s="37"/>
      <c r="AV357" s="37"/>
      <c r="AW357" s="37"/>
      <c r="AX357" s="37"/>
      <c r="AY357" s="37"/>
      <c r="AZ357" s="37"/>
      <c r="BA357" s="37"/>
      <c r="BB357" s="37"/>
      <c r="BC357" s="37"/>
      <c r="BD357" s="37"/>
      <c r="BE357" s="37"/>
    </row>
    <row r="358" spans="2:59" s="31" customFormat="1" ht="15.5" x14ac:dyDescent="0.3">
      <c r="C358" s="34"/>
      <c r="D358" s="84"/>
      <c r="G358" s="34"/>
      <c r="H358" s="84"/>
      <c r="J358" s="33"/>
      <c r="K358" s="34"/>
      <c r="L358" s="34"/>
      <c r="M358" s="84"/>
      <c r="N358" s="84"/>
      <c r="O358" s="255"/>
      <c r="Q358" s="35"/>
      <c r="R358" s="99"/>
      <c r="S358" s="36"/>
      <c r="T358" s="36"/>
      <c r="U358" s="36"/>
      <c r="V358" s="36"/>
      <c r="W358" s="36"/>
      <c r="X358" s="36"/>
      <c r="Y358" s="36"/>
      <c r="Z358" s="36"/>
      <c r="AA358" s="36"/>
      <c r="AB358" s="36"/>
      <c r="AC358" s="36"/>
      <c r="AD358" s="36"/>
      <c r="AE358" s="36"/>
      <c r="AF358" s="36"/>
      <c r="AG358" s="36"/>
      <c r="AH358" s="36"/>
      <c r="AI358" s="36"/>
      <c r="AJ358" s="36"/>
      <c r="AK358" s="36"/>
      <c r="AL358" s="36"/>
      <c r="AM358" s="36"/>
      <c r="AN358" s="37"/>
      <c r="AO358" s="37"/>
      <c r="AP358" s="37"/>
      <c r="AQ358" s="37"/>
      <c r="AR358" s="37"/>
      <c r="AS358" s="37"/>
      <c r="AT358" s="37"/>
      <c r="AU358" s="37"/>
      <c r="AV358" s="37"/>
      <c r="AW358" s="37"/>
      <c r="AX358" s="37"/>
      <c r="AY358" s="37"/>
      <c r="AZ358" s="37"/>
      <c r="BA358" s="37"/>
      <c r="BB358" s="37"/>
      <c r="BC358" s="37"/>
      <c r="BD358" s="37"/>
      <c r="BE358" s="37"/>
    </row>
    <row r="359" spans="2:59" s="298" customFormat="1" ht="18" x14ac:dyDescent="0.3">
      <c r="B359" s="295" t="s">
        <v>740</v>
      </c>
      <c r="C359" s="296"/>
      <c r="D359" s="297"/>
      <c r="G359" s="296"/>
      <c r="H359" s="297"/>
      <c r="K359" s="299"/>
      <c r="L359" s="299"/>
      <c r="M359" s="297"/>
      <c r="N359" s="297"/>
      <c r="O359" s="300"/>
      <c r="Q359" s="301"/>
      <c r="R359" s="302" t="str">
        <f>IF(OR(ISNUMBER(#REF!),ISNUMBER(#REF!),ISNUMBER(#REF!)),SUM(#REF!,#REF!,#REF!),"")</f>
        <v/>
      </c>
      <c r="S359" s="303"/>
      <c r="T359" s="303"/>
      <c r="U359" s="303"/>
      <c r="V359" s="303"/>
      <c r="W359" s="303"/>
      <c r="X359" s="303"/>
      <c r="Y359" s="303"/>
      <c r="Z359" s="303"/>
      <c r="AA359" s="303"/>
      <c r="AB359" s="303"/>
      <c r="AC359" s="303"/>
      <c r="AD359" s="303"/>
      <c r="AE359" s="303"/>
      <c r="AF359" s="303"/>
      <c r="AG359" s="303"/>
      <c r="AH359" s="303"/>
      <c r="AI359" s="303"/>
      <c r="AJ359" s="303"/>
      <c r="AK359" s="303"/>
      <c r="AL359" s="303"/>
      <c r="AM359" s="303"/>
      <c r="AN359" s="304"/>
      <c r="AO359" s="304"/>
      <c r="AP359" s="304"/>
      <c r="AQ359" s="304"/>
      <c r="AR359" s="304"/>
      <c r="AS359" s="304"/>
      <c r="AT359" s="304"/>
      <c r="AU359" s="304"/>
      <c r="AV359" s="304"/>
      <c r="AW359" s="304"/>
      <c r="AX359" s="304"/>
      <c r="AY359" s="304"/>
      <c r="AZ359" s="304"/>
      <c r="BA359" s="304"/>
      <c r="BB359" s="304"/>
      <c r="BC359" s="304"/>
      <c r="BD359" s="304"/>
      <c r="BE359" s="304"/>
    </row>
    <row r="360" spans="2:59" s="31" customFormat="1" ht="15.5" x14ac:dyDescent="0.3">
      <c r="B360" s="9"/>
      <c r="C360" s="34"/>
      <c r="D360" s="84"/>
      <c r="G360" s="34" t="s">
        <v>43</v>
      </c>
      <c r="H360" s="84"/>
      <c r="K360" s="38" t="s">
        <v>329</v>
      </c>
      <c r="L360" s="38" t="s">
        <v>201</v>
      </c>
      <c r="M360" s="84"/>
      <c r="N360" s="84"/>
      <c r="O360" s="255" t="s">
        <v>644</v>
      </c>
      <c r="Q360" s="35"/>
      <c r="R360" s="36" t="s">
        <v>350</v>
      </c>
      <c r="S360" s="36"/>
      <c r="T360" s="36" t="s">
        <v>267</v>
      </c>
      <c r="U360" s="36" t="s">
        <v>268</v>
      </c>
      <c r="V360" s="36" t="s">
        <v>269</v>
      </c>
      <c r="W360" s="36" t="s">
        <v>272</v>
      </c>
      <c r="X360" s="36" t="s">
        <v>270</v>
      </c>
      <c r="Y360" s="36" t="s">
        <v>271</v>
      </c>
      <c r="Z360" s="36" t="s">
        <v>273</v>
      </c>
      <c r="AA360" s="108"/>
      <c r="AB360" s="36"/>
      <c r="AC360" s="36"/>
      <c r="AD360" s="36"/>
      <c r="AE360" s="36"/>
      <c r="AF360" s="36"/>
      <c r="AG360" s="36"/>
      <c r="AH360" s="36"/>
      <c r="AI360" s="36"/>
      <c r="AJ360" s="36"/>
      <c r="AK360" s="36"/>
      <c r="AL360" s="36"/>
      <c r="AM360" s="36"/>
      <c r="AN360" s="37"/>
      <c r="AO360" s="37"/>
      <c r="AP360" s="37"/>
      <c r="AQ360" s="37"/>
      <c r="AR360" s="37"/>
      <c r="AS360" s="37"/>
      <c r="AT360" s="37"/>
      <c r="AU360" s="37"/>
      <c r="AV360" s="37"/>
      <c r="AW360" s="37"/>
      <c r="AX360" s="37"/>
      <c r="AY360" s="37"/>
      <c r="AZ360" s="37"/>
      <c r="BA360" s="37"/>
      <c r="BB360" s="37"/>
      <c r="BC360" s="37"/>
      <c r="BD360" s="37"/>
      <c r="BE360" s="37"/>
    </row>
    <row r="361" spans="2:59" s="31" customFormat="1" ht="15.5" x14ac:dyDescent="0.3">
      <c r="B361" s="78" t="s">
        <v>327</v>
      </c>
      <c r="C361" s="160"/>
      <c r="D361" s="84" t="s">
        <v>235</v>
      </c>
      <c r="G361" s="160"/>
      <c r="H361" s="84" t="s">
        <v>44</v>
      </c>
      <c r="J361" s="33" t="s">
        <v>566</v>
      </c>
      <c r="K361" s="112">
        <f>IF(ISNUMBER(L361),L361,IF(C363=Pudotusvalikot!$J$4,Kalusto!$E$98,IF(C363=Pudotusvalikot!$J$5,Kalusto!$E$99,IF(C363=Pudotusvalikot!$J$6,Kalusto!$E$100,IF(C363=Pudotusvalikot!$J$7,Kalusto!$E$101,IF(C363=Pudotusvalikot!$J$8,Kalusto!$E$102,IF(C363=Pudotusvalikot!$J$9,Kalusto!$E$103,IF(C363=Pudotusvalikot!$J$11,Kalusto!$E$104,Kalusto!$E$98))))))))</f>
        <v>5.5</v>
      </c>
      <c r="L361" s="63"/>
      <c r="M361" s="77" t="str">
        <f>IF(C363=Pudotusvalikot!$J$9,"kWh/100 km",IF(C363=Pudotusvalikot!$J$6,"kg/100 km","l/100 km"))</f>
        <v>l/100 km</v>
      </c>
      <c r="N361" s="77"/>
      <c r="O361" s="256"/>
      <c r="Q361" s="35"/>
      <c r="R361" s="109">
        <f>SUM(U361:Z361)</f>
        <v>0</v>
      </c>
      <c r="S361" s="102" t="s">
        <v>172</v>
      </c>
      <c r="T361" s="48">
        <f>IF(ISNUMBER(C362*C361*50*G361),C362*C361*50*G361,"")</f>
        <v>0</v>
      </c>
      <c r="U361" s="50">
        <f>IF(ISNUMBER(T361),IF(C363=Pudotusvalikot!$J$5,(Muut!$H$15+Muut!$H$18)*(T361*K361/100),0),"")</f>
        <v>0</v>
      </c>
      <c r="V361" s="50">
        <f>IF(ISNUMBER(T361),IF(C363=Pudotusvalikot!$J$4,(Muut!$H$14+Muut!$H$17)*(T361*K361/100),0),"")</f>
        <v>0</v>
      </c>
      <c r="W361" s="50">
        <f>IF(ISNUMBER(T361),IF(C363=Pudotusvalikot!$J$6,(Muut!$H$16+Muut!$H$19)*(T361*K361/100),0),"")</f>
        <v>0</v>
      </c>
      <c r="X361" s="50">
        <f>IF(ISNUMBER(T361),IF(C363=Pudotusvalikot!$J$7,((Muut!$H$15+Muut!$H$18)*(100%-Kalusto!$O$101)+(Muut!$H$14+Muut!$H$17)*Kalusto!$O$101)*(T361*K361/100),0),"")</f>
        <v>0</v>
      </c>
      <c r="Y361" s="74">
        <f>IF(ISNUMBER(T361),IF(C363=Pudotusvalikot!$J$8,((Kalusto!$K$102)*(100%-Kalusto!$O$102)+(Kalusto!$M$102)*Kalusto!$O$102)*(Muut!$H$13+Muut!$H$12)/100*T361/1000+((Kalusto!$G$102)*(100%-Kalusto!$O$102)+(Kalusto!$I$102)*Kalusto!$O$102)*(K361+Muut!$H$18)/100*T361,0),"")</f>
        <v>0</v>
      </c>
      <c r="Z361" s="74">
        <f>IF(ISNUMBER(T361),IF(C363=Pudotusvalikot!$J$9,Kalusto!$E$103*(K361+Muut!$H$12)/100*T361/1000,0),"")</f>
        <v>0</v>
      </c>
      <c r="AA361" s="108"/>
      <c r="AB361" s="36"/>
      <c r="AC361" s="36"/>
      <c r="AD361" s="36"/>
      <c r="AE361" s="36"/>
      <c r="AF361" s="36"/>
      <c r="AG361" s="36"/>
      <c r="AH361" s="36"/>
      <c r="AI361" s="36"/>
      <c r="AJ361" s="36"/>
      <c r="AK361" s="36"/>
      <c r="AL361" s="36"/>
      <c r="AM361" s="36"/>
      <c r="AN361" s="37"/>
      <c r="AO361" s="37"/>
      <c r="AP361" s="37"/>
      <c r="AQ361" s="37"/>
      <c r="AR361" s="37"/>
      <c r="AS361" s="37"/>
      <c r="AT361" s="37"/>
      <c r="AU361" s="37"/>
      <c r="AV361" s="37"/>
      <c r="AW361" s="37"/>
      <c r="AX361" s="37"/>
      <c r="AY361" s="37"/>
      <c r="AZ361" s="37"/>
      <c r="BA361" s="37"/>
      <c r="BB361" s="37"/>
      <c r="BC361" s="37"/>
      <c r="BD361" s="37"/>
      <c r="BE361" s="37"/>
    </row>
    <row r="362" spans="2:59" s="31" customFormat="1" ht="15.5" x14ac:dyDescent="0.3">
      <c r="B362" s="45" t="s">
        <v>328</v>
      </c>
      <c r="C362" s="160"/>
      <c r="D362" s="84" t="s">
        <v>5</v>
      </c>
      <c r="G362" s="34"/>
      <c r="H362" s="84"/>
      <c r="K362" s="134"/>
      <c r="L362" s="38"/>
      <c r="M362" s="84"/>
      <c r="N362" s="84"/>
      <c r="O362" s="257"/>
      <c r="Q362" s="35"/>
      <c r="R362" s="36" t="s">
        <v>350</v>
      </c>
      <c r="S362" s="36"/>
      <c r="T362" s="36" t="s">
        <v>267</v>
      </c>
      <c r="U362" s="36" t="s">
        <v>268</v>
      </c>
      <c r="V362" s="36" t="s">
        <v>269</v>
      </c>
      <c r="W362" s="36" t="s">
        <v>272</v>
      </c>
      <c r="X362" s="36" t="s">
        <v>270</v>
      </c>
      <c r="Y362" s="36" t="s">
        <v>271</v>
      </c>
      <c r="Z362" s="36" t="s">
        <v>273</v>
      </c>
      <c r="AA362" s="108"/>
      <c r="AB362" s="36"/>
      <c r="AC362" s="36"/>
      <c r="AD362" s="36"/>
      <c r="AE362" s="36"/>
      <c r="AF362" s="36"/>
      <c r="AG362" s="36"/>
      <c r="AH362" s="36"/>
      <c r="AI362" s="36"/>
      <c r="AJ362" s="36"/>
      <c r="AK362" s="36"/>
      <c r="AL362" s="36"/>
      <c r="AM362" s="36"/>
      <c r="AN362" s="37"/>
      <c r="AO362" s="37"/>
      <c r="AP362" s="37"/>
      <c r="AQ362" s="37"/>
      <c r="AR362" s="37"/>
      <c r="AS362" s="37"/>
      <c r="AT362" s="37"/>
      <c r="AU362" s="37"/>
      <c r="AV362" s="37"/>
      <c r="AW362" s="37"/>
      <c r="AX362" s="37"/>
      <c r="AY362" s="37"/>
      <c r="AZ362" s="37"/>
      <c r="BA362" s="37"/>
      <c r="BB362" s="37"/>
      <c r="BC362" s="37"/>
      <c r="BD362" s="37"/>
      <c r="BE362" s="37"/>
    </row>
    <row r="363" spans="2:59" s="31" customFormat="1" ht="15.5" x14ac:dyDescent="0.3">
      <c r="B363" s="54" t="s">
        <v>576</v>
      </c>
      <c r="C363" s="395" t="s">
        <v>242</v>
      </c>
      <c r="D363" s="395"/>
      <c r="G363" s="34"/>
      <c r="H363" s="84"/>
      <c r="J363" s="33"/>
      <c r="K363" s="34"/>
      <c r="L363" s="34"/>
      <c r="M363" s="84"/>
      <c r="N363" s="84"/>
      <c r="O363" s="257"/>
      <c r="Q363" s="35"/>
      <c r="R363" s="99"/>
      <c r="S363" s="36"/>
      <c r="T363" s="36"/>
      <c r="U363" s="36"/>
      <c r="V363" s="36"/>
      <c r="W363" s="36"/>
      <c r="X363" s="36"/>
      <c r="Y363" s="36"/>
      <c r="Z363" s="36"/>
      <c r="AA363" s="36"/>
      <c r="AB363" s="36"/>
      <c r="AC363" s="36"/>
      <c r="AD363" s="36"/>
      <c r="AE363" s="36"/>
      <c r="AF363" s="36"/>
      <c r="AG363" s="36"/>
      <c r="AH363" s="36"/>
      <c r="AI363" s="36"/>
      <c r="AJ363" s="36"/>
      <c r="AK363" s="36"/>
      <c r="AL363" s="36"/>
      <c r="AM363" s="36"/>
      <c r="AN363" s="37"/>
      <c r="AO363" s="37"/>
      <c r="AP363" s="37"/>
      <c r="AQ363" s="37"/>
      <c r="AR363" s="37"/>
      <c r="AS363" s="37"/>
      <c r="AT363" s="37"/>
      <c r="AU363" s="37"/>
      <c r="AV363" s="37"/>
      <c r="AW363" s="37"/>
      <c r="AX363" s="37"/>
      <c r="AY363" s="37"/>
      <c r="AZ363" s="37"/>
      <c r="BA363" s="37"/>
      <c r="BB363" s="37"/>
      <c r="BC363" s="37"/>
      <c r="BD363" s="37"/>
      <c r="BE363" s="37"/>
    </row>
    <row r="364" spans="2:59" s="31" customFormat="1" ht="15.5" x14ac:dyDescent="0.3">
      <c r="B364" s="54"/>
      <c r="C364" s="34"/>
      <c r="D364" s="34"/>
      <c r="G364" s="34"/>
      <c r="H364" s="84"/>
      <c r="J364" s="33"/>
      <c r="K364" s="34"/>
      <c r="L364" s="34"/>
      <c r="M364" s="84"/>
      <c r="N364" s="84"/>
      <c r="O364" s="257"/>
      <c r="Q364" s="35"/>
      <c r="R364" s="99"/>
      <c r="S364" s="36"/>
      <c r="T364" s="36"/>
      <c r="U364" s="36"/>
      <c r="V364" s="36"/>
      <c r="W364" s="36"/>
      <c r="X364" s="36"/>
      <c r="Y364" s="36"/>
      <c r="Z364" s="36"/>
      <c r="AA364" s="36"/>
      <c r="AB364" s="36"/>
      <c r="AC364" s="36"/>
      <c r="AD364" s="36"/>
      <c r="AE364" s="36"/>
      <c r="AF364" s="36"/>
      <c r="AG364" s="36"/>
      <c r="AH364" s="36"/>
      <c r="AI364" s="36"/>
      <c r="AJ364" s="36"/>
      <c r="AK364" s="36"/>
      <c r="AL364" s="36"/>
      <c r="AM364" s="36"/>
      <c r="AN364" s="37"/>
      <c r="AO364" s="37"/>
      <c r="AP364" s="37"/>
      <c r="AQ364" s="37"/>
      <c r="AR364" s="37"/>
      <c r="AS364" s="37"/>
      <c r="AT364" s="37"/>
      <c r="AU364" s="37"/>
      <c r="AV364" s="37"/>
      <c r="AW364" s="37"/>
      <c r="AX364" s="37"/>
      <c r="AY364" s="37"/>
      <c r="AZ364" s="37"/>
      <c r="BA364" s="37"/>
      <c r="BB364" s="37"/>
      <c r="BC364" s="37"/>
      <c r="BD364" s="37"/>
      <c r="BE364" s="37"/>
    </row>
    <row r="365" spans="2:59" s="196" customFormat="1" ht="23" x14ac:dyDescent="0.3">
      <c r="B365" s="197" t="s">
        <v>569</v>
      </c>
      <c r="C365" s="198"/>
      <c r="D365" s="199"/>
      <c r="G365" s="198"/>
      <c r="H365" s="199"/>
      <c r="J365" s="200"/>
      <c r="O365" s="263"/>
      <c r="P365" s="201"/>
      <c r="Q365" s="202"/>
      <c r="R365" s="203"/>
      <c r="S365" s="202"/>
      <c r="T365" s="204"/>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4"/>
      <c r="AQ365" s="204"/>
      <c r="AR365" s="204"/>
      <c r="AS365" s="204"/>
      <c r="AT365" s="204"/>
      <c r="AU365" s="204"/>
      <c r="AV365" s="204"/>
      <c r="AW365" s="204"/>
      <c r="AX365" s="204"/>
      <c r="AY365" s="204"/>
      <c r="AZ365" s="204"/>
      <c r="BA365" s="204"/>
      <c r="BB365" s="204"/>
      <c r="BC365" s="204"/>
      <c r="BD365" s="204"/>
      <c r="BE365" s="204"/>
      <c r="BF365" s="204"/>
      <c r="BG365" s="204"/>
    </row>
    <row r="366" spans="2:59" s="31" customFormat="1" ht="15.5" x14ac:dyDescent="0.3">
      <c r="B366" s="9"/>
      <c r="C366" s="34"/>
      <c r="D366" s="84"/>
      <c r="G366" s="34"/>
      <c r="H366" s="84"/>
      <c r="O366" s="171"/>
      <c r="P366" s="69"/>
      <c r="Q366" s="108"/>
      <c r="R366" s="98"/>
      <c r="S366" s="108"/>
      <c r="T366" s="37"/>
      <c r="U366" s="36"/>
      <c r="V366" s="36"/>
      <c r="W366" s="36"/>
      <c r="X366" s="36"/>
      <c r="Y366" s="36"/>
      <c r="Z366" s="36"/>
      <c r="AA366" s="36"/>
      <c r="AB366" s="36"/>
      <c r="AC366" s="36"/>
      <c r="AD366" s="36"/>
      <c r="AE366" s="36"/>
      <c r="AF366" s="36"/>
      <c r="AG366" s="36"/>
      <c r="AH366" s="36"/>
      <c r="AI366" s="36"/>
      <c r="AJ366" s="36"/>
      <c r="AK366" s="36"/>
      <c r="AL366" s="36"/>
      <c r="AM366" s="36"/>
      <c r="AN366" s="36"/>
      <c r="AO366" s="36"/>
      <c r="AP366" s="37"/>
      <c r="AQ366" s="37"/>
      <c r="AR366" s="37"/>
      <c r="AS366" s="37"/>
      <c r="AT366" s="37"/>
      <c r="AU366" s="37"/>
      <c r="AV366" s="37"/>
      <c r="AW366" s="37"/>
      <c r="AX366" s="37"/>
      <c r="AY366" s="37"/>
      <c r="AZ366" s="37"/>
      <c r="BA366" s="37"/>
      <c r="BB366" s="37"/>
      <c r="BC366" s="37"/>
      <c r="BD366" s="37"/>
      <c r="BE366" s="37"/>
      <c r="BF366" s="37"/>
      <c r="BG366" s="37"/>
    </row>
    <row r="367" spans="2:59" s="298" customFormat="1" ht="18" x14ac:dyDescent="0.3">
      <c r="B367" s="295" t="s">
        <v>486</v>
      </c>
      <c r="C367" s="296"/>
      <c r="D367" s="297"/>
      <c r="G367" s="296"/>
      <c r="H367" s="297"/>
      <c r="K367" s="299"/>
      <c r="L367" s="299"/>
      <c r="M367" s="297"/>
      <c r="N367" s="297"/>
      <c r="O367" s="300"/>
      <c r="Q367" s="301"/>
      <c r="R367" s="302" t="str">
        <f>IF(OR(ISNUMBER(#REF!),ISNUMBER(#REF!),ISNUMBER(#REF!)),SUM(#REF!,#REF!,#REF!),"")</f>
        <v/>
      </c>
      <c r="S367" s="303"/>
      <c r="T367" s="303"/>
      <c r="U367" s="303"/>
      <c r="V367" s="303"/>
      <c r="W367" s="303"/>
      <c r="X367" s="303"/>
      <c r="Y367" s="303"/>
      <c r="Z367" s="303"/>
      <c r="AA367" s="303"/>
      <c r="AB367" s="303"/>
      <c r="AC367" s="303"/>
      <c r="AD367" s="303"/>
      <c r="AE367" s="303"/>
      <c r="AF367" s="303"/>
      <c r="AG367" s="303"/>
      <c r="AH367" s="303"/>
      <c r="AI367" s="303"/>
      <c r="AJ367" s="303"/>
      <c r="AK367" s="303"/>
      <c r="AL367" s="303"/>
      <c r="AM367" s="303"/>
      <c r="AN367" s="304"/>
      <c r="AO367" s="304"/>
      <c r="AP367" s="304"/>
      <c r="AQ367" s="304"/>
      <c r="AR367" s="304"/>
      <c r="AS367" s="304"/>
      <c r="AT367" s="304"/>
      <c r="AU367" s="304"/>
      <c r="AV367" s="304"/>
      <c r="AW367" s="304"/>
      <c r="AX367" s="304"/>
      <c r="AY367" s="304"/>
      <c r="AZ367" s="304"/>
      <c r="BA367" s="304"/>
      <c r="BB367" s="304"/>
      <c r="BC367" s="304"/>
      <c r="BD367" s="304"/>
      <c r="BE367" s="304"/>
    </row>
    <row r="368" spans="2:59" s="31" customFormat="1" ht="15.5" x14ac:dyDescent="0.3">
      <c r="B368" s="179"/>
      <c r="C368" s="34"/>
      <c r="D368" s="84"/>
      <c r="G368" s="34"/>
      <c r="H368" s="84"/>
      <c r="K368" s="34"/>
      <c r="L368" s="34"/>
      <c r="M368" s="84"/>
      <c r="N368" s="84"/>
      <c r="O368" s="255"/>
      <c r="Q368" s="35"/>
      <c r="R368" s="99"/>
      <c r="S368" s="36"/>
      <c r="T368" s="36"/>
      <c r="U368" s="36"/>
      <c r="V368" s="36"/>
      <c r="W368" s="36"/>
      <c r="X368" s="36"/>
      <c r="Y368" s="36"/>
      <c r="Z368" s="36"/>
      <c r="AA368" s="36"/>
      <c r="AB368" s="36"/>
      <c r="AC368" s="36"/>
      <c r="AD368" s="36"/>
      <c r="AE368" s="36"/>
      <c r="AF368" s="36"/>
      <c r="AG368" s="36"/>
      <c r="AH368" s="36"/>
      <c r="AI368" s="36"/>
      <c r="AJ368" s="36"/>
      <c r="AK368" s="36"/>
      <c r="AL368" s="36"/>
      <c r="AM368" s="36"/>
      <c r="AN368" s="37"/>
      <c r="AO368" s="37"/>
      <c r="AP368" s="37"/>
      <c r="AQ368" s="37"/>
      <c r="AR368" s="37"/>
      <c r="AS368" s="37"/>
      <c r="AT368" s="37"/>
      <c r="AU368" s="37"/>
      <c r="AV368" s="37"/>
      <c r="AW368" s="37"/>
      <c r="AX368" s="37"/>
      <c r="AY368" s="37"/>
      <c r="AZ368" s="37"/>
      <c r="BA368" s="37"/>
      <c r="BB368" s="37"/>
      <c r="BC368" s="37"/>
      <c r="BD368" s="37"/>
      <c r="BE368" s="37"/>
    </row>
    <row r="369" spans="2:57" s="298" customFormat="1" ht="18" x14ac:dyDescent="0.3">
      <c r="B369" s="295" t="s">
        <v>55</v>
      </c>
      <c r="C369" s="296"/>
      <c r="D369" s="297"/>
      <c r="G369" s="296"/>
      <c r="H369" s="297"/>
      <c r="K369" s="299"/>
      <c r="L369" s="299"/>
      <c r="M369" s="297"/>
      <c r="N369" s="297"/>
      <c r="O369" s="300"/>
      <c r="Q369" s="301"/>
      <c r="R369" s="302" t="str">
        <f>IF(OR(ISNUMBER(#REF!),ISNUMBER(#REF!),ISNUMBER(#REF!)),SUM(#REF!,#REF!,#REF!),"")</f>
        <v/>
      </c>
      <c r="S369" s="303"/>
      <c r="T369" s="303"/>
      <c r="U369" s="303"/>
      <c r="V369" s="303"/>
      <c r="W369" s="303"/>
      <c r="X369" s="303"/>
      <c r="Y369" s="303"/>
      <c r="Z369" s="303"/>
      <c r="AA369" s="303"/>
      <c r="AB369" s="303"/>
      <c r="AC369" s="303"/>
      <c r="AD369" s="303"/>
      <c r="AE369" s="303"/>
      <c r="AF369" s="303"/>
      <c r="AG369" s="303"/>
      <c r="AH369" s="303"/>
      <c r="AI369" s="303"/>
      <c r="AJ369" s="303"/>
      <c r="AK369" s="303"/>
      <c r="AL369" s="303"/>
      <c r="AM369" s="303"/>
      <c r="AN369" s="304"/>
      <c r="AO369" s="304"/>
      <c r="AP369" s="304"/>
      <c r="AQ369" s="304"/>
      <c r="AR369" s="304"/>
      <c r="AS369" s="304"/>
      <c r="AT369" s="304"/>
      <c r="AU369" s="304"/>
      <c r="AV369" s="304"/>
      <c r="AW369" s="304"/>
      <c r="AX369" s="304"/>
      <c r="AY369" s="304"/>
      <c r="AZ369" s="304"/>
      <c r="BA369" s="304"/>
      <c r="BB369" s="304"/>
      <c r="BC369" s="304"/>
      <c r="BD369" s="304"/>
      <c r="BE369" s="304"/>
    </row>
    <row r="370" spans="2:57" s="31" customFormat="1" ht="15.5" x14ac:dyDescent="0.3">
      <c r="B370" s="9"/>
      <c r="C370" s="34"/>
      <c r="D370" s="84"/>
      <c r="G370" s="34"/>
      <c r="H370" s="84"/>
      <c r="K370" s="34"/>
      <c r="L370" s="34"/>
      <c r="M370" s="84"/>
      <c r="N370" s="84"/>
      <c r="O370" s="255" t="s">
        <v>644</v>
      </c>
      <c r="Q370" s="35"/>
      <c r="R370" s="99"/>
      <c r="S370" s="36"/>
      <c r="T370" s="36"/>
      <c r="U370" s="36"/>
      <c r="V370" s="36"/>
      <c r="W370" s="36"/>
      <c r="X370" s="36"/>
      <c r="Y370" s="36"/>
      <c r="Z370" s="36"/>
      <c r="AA370" s="36"/>
      <c r="AB370" s="36"/>
      <c r="AC370" s="36"/>
      <c r="AD370" s="36"/>
      <c r="AE370" s="36"/>
      <c r="AF370" s="36"/>
      <c r="AG370" s="36"/>
      <c r="AH370" s="36"/>
      <c r="AI370" s="36"/>
      <c r="AJ370" s="36"/>
      <c r="AK370" s="36"/>
      <c r="AL370" s="36"/>
      <c r="AM370" s="36"/>
      <c r="AN370" s="37"/>
      <c r="AO370" s="37"/>
      <c r="AP370" s="37"/>
      <c r="AQ370" s="37"/>
      <c r="AR370" s="37"/>
      <c r="AS370" s="37"/>
      <c r="AT370" s="37"/>
      <c r="AU370" s="37"/>
      <c r="AV370" s="37"/>
      <c r="AW370" s="37"/>
      <c r="AX370" s="37"/>
      <c r="AY370" s="37"/>
      <c r="AZ370" s="37"/>
      <c r="BA370" s="37"/>
      <c r="BB370" s="37"/>
      <c r="BC370" s="37"/>
      <c r="BD370" s="37"/>
      <c r="BE370" s="37"/>
    </row>
    <row r="371" spans="2:57" s="31" customFormat="1" ht="15.5" x14ac:dyDescent="0.3">
      <c r="B371" s="155" t="s">
        <v>487</v>
      </c>
      <c r="C371" s="34"/>
      <c r="D371" s="84"/>
      <c r="G371" s="34"/>
      <c r="H371" s="84"/>
      <c r="K371" s="38" t="s">
        <v>329</v>
      </c>
      <c r="L371" s="38" t="s">
        <v>201</v>
      </c>
      <c r="M371" s="84"/>
      <c r="N371" s="84"/>
      <c r="O371" s="256"/>
      <c r="Q371" s="35"/>
      <c r="R371" s="36" t="s">
        <v>350</v>
      </c>
      <c r="S371" s="36"/>
      <c r="T371" s="36" t="s">
        <v>275</v>
      </c>
      <c r="U371" s="108"/>
      <c r="V371" s="36"/>
      <c r="W371" s="36"/>
      <c r="X371" s="36"/>
      <c r="Y371" s="36"/>
      <c r="Z371" s="36"/>
      <c r="AA371" s="36"/>
      <c r="AB371" s="36"/>
      <c r="AC371" s="36"/>
      <c r="AD371" s="36"/>
      <c r="AE371" s="36"/>
      <c r="AF371" s="36"/>
      <c r="AG371" s="36"/>
      <c r="AH371" s="36"/>
      <c r="AI371" s="36"/>
      <c r="AJ371" s="36"/>
      <c r="AK371" s="36"/>
      <c r="AL371" s="36"/>
      <c r="AM371" s="36"/>
      <c r="AN371" s="37"/>
      <c r="AO371" s="37"/>
      <c r="AP371" s="37"/>
      <c r="AQ371" s="37"/>
      <c r="AR371" s="37"/>
      <c r="AS371" s="37"/>
      <c r="AT371" s="37"/>
      <c r="AU371" s="37"/>
      <c r="AV371" s="37"/>
      <c r="AW371" s="37"/>
      <c r="AX371" s="37"/>
      <c r="AY371" s="37"/>
      <c r="AZ371" s="37"/>
      <c r="BA371" s="37"/>
      <c r="BB371" s="37"/>
      <c r="BC371" s="37"/>
      <c r="BD371" s="37"/>
      <c r="BE371" s="37"/>
    </row>
    <row r="372" spans="2:57" s="31" customFormat="1" ht="15.5" x14ac:dyDescent="0.3">
      <c r="B372" s="54" t="s">
        <v>510</v>
      </c>
      <c r="C372" s="392" t="s">
        <v>128</v>
      </c>
      <c r="D372" s="393"/>
      <c r="E372" s="393"/>
      <c r="F372" s="393"/>
      <c r="G372" s="394"/>
      <c r="H372" s="84"/>
      <c r="J372" s="33" t="s">
        <v>470</v>
      </c>
      <c r="K372" s="96">
        <f>IF(ISNUMBER(L372),L372,IF(OR(C372=Pudotusvalikot!$D$67,C372=Pudotusvalikot!$D$68),"--",VLOOKUP(C372,Kalusto!$C$5:$E$42,3,FALSE)*IF(OR(C373=Pudotusvalikot!$V$3,C373=Pudotusvalikot!$V$4),Muut!$E$38,IF(C373=Pudotusvalikot!$V$5,Muut!$E$39,IF(C373=Pudotusvalikot!$V$6,Muut!$E$40,Muut!$E$41)))))</f>
        <v>34.130000000000003</v>
      </c>
      <c r="L372" s="40"/>
      <c r="M372" s="41" t="s">
        <v>205</v>
      </c>
      <c r="N372" s="41"/>
      <c r="O372" s="256"/>
      <c r="Q372" s="35"/>
      <c r="R372" s="50" t="str">
        <f>IF(ISNUMBER(K372*T372),K372*T372,"")</f>
        <v/>
      </c>
      <c r="S372" s="102" t="s">
        <v>172</v>
      </c>
      <c r="T372" s="50" t="str">
        <f>IF(ISNUMBER(C374),C374,"")</f>
        <v/>
      </c>
      <c r="U372" s="108"/>
      <c r="V372" s="61"/>
      <c r="W372" s="36"/>
      <c r="X372" s="36"/>
      <c r="Y372" s="36"/>
      <c r="Z372" s="36"/>
      <c r="AA372" s="36"/>
      <c r="AB372" s="36"/>
      <c r="AC372" s="36"/>
      <c r="AD372" s="36"/>
      <c r="AE372" s="36"/>
      <c r="AF372" s="36"/>
      <c r="AG372" s="36"/>
      <c r="AH372" s="36"/>
      <c r="AI372" s="36"/>
      <c r="AJ372" s="36"/>
      <c r="AK372" s="36"/>
      <c r="AL372" s="36"/>
      <c r="AM372" s="36"/>
      <c r="AN372" s="37"/>
      <c r="AO372" s="37"/>
      <c r="AP372" s="37"/>
      <c r="AQ372" s="37"/>
      <c r="AR372" s="37"/>
      <c r="AS372" s="37"/>
      <c r="AT372" s="37"/>
      <c r="AU372" s="37"/>
      <c r="AV372" s="37"/>
      <c r="AW372" s="37"/>
      <c r="AX372" s="37"/>
      <c r="AY372" s="37"/>
      <c r="AZ372" s="37"/>
      <c r="BA372" s="37"/>
      <c r="BB372" s="37"/>
      <c r="BC372" s="37"/>
      <c r="BD372" s="37"/>
      <c r="BE372" s="37"/>
    </row>
    <row r="373" spans="2:57" s="31" customFormat="1" ht="15.5" x14ac:dyDescent="0.3">
      <c r="B373" s="170" t="s">
        <v>509</v>
      </c>
      <c r="C373" s="160" t="s">
        <v>242</v>
      </c>
      <c r="D373" s="34"/>
      <c r="E373" s="34"/>
      <c r="F373" s="34"/>
      <c r="G373" s="34"/>
      <c r="H373" s="59"/>
      <c r="J373" s="173"/>
      <c r="K373" s="173"/>
      <c r="L373" s="173"/>
      <c r="M373" s="41"/>
      <c r="N373" s="41"/>
      <c r="O373" s="256"/>
      <c r="Q373" s="47"/>
      <c r="R373" s="61"/>
      <c r="S373" s="102"/>
      <c r="T373" s="36"/>
      <c r="U373" s="36"/>
      <c r="V373" s="181"/>
      <c r="W373" s="181"/>
      <c r="X373" s="61"/>
      <c r="Y373" s="36"/>
      <c r="Z373" s="61"/>
      <c r="AA373" s="182"/>
      <c r="AB373" s="61"/>
      <c r="AC373" s="61"/>
      <c r="AD373" s="61"/>
      <c r="AE373" s="61"/>
      <c r="AF373" s="182"/>
      <c r="AG373" s="61"/>
      <c r="AH373" s="36"/>
      <c r="AI373" s="36"/>
      <c r="AJ373" s="36"/>
      <c r="AK373" s="108"/>
      <c r="AL373" s="36"/>
      <c r="AM373" s="36"/>
      <c r="AN373" s="37"/>
      <c r="AO373" s="37"/>
      <c r="AP373" s="37"/>
      <c r="AQ373" s="37"/>
      <c r="AR373" s="37"/>
      <c r="AS373" s="37"/>
      <c r="AT373" s="37"/>
      <c r="AU373" s="37"/>
      <c r="AV373" s="37"/>
      <c r="AW373" s="37"/>
      <c r="AX373" s="37"/>
      <c r="AY373" s="37"/>
      <c r="AZ373" s="37"/>
      <c r="BA373" s="37"/>
      <c r="BB373" s="37"/>
      <c r="BC373" s="37"/>
      <c r="BD373" s="37"/>
      <c r="BE373" s="37"/>
    </row>
    <row r="374" spans="2:57" s="31" customFormat="1" ht="15.5" x14ac:dyDescent="0.3">
      <c r="B374" s="54" t="s">
        <v>392</v>
      </c>
      <c r="C374" s="193"/>
      <c r="D374" s="84" t="s">
        <v>51</v>
      </c>
      <c r="G374" s="34"/>
      <c r="H374" s="84"/>
      <c r="J374" s="33"/>
      <c r="K374" s="34"/>
      <c r="L374" s="34"/>
      <c r="M374" s="84"/>
      <c r="N374" s="84"/>
      <c r="O374" s="257"/>
      <c r="Q374" s="35"/>
      <c r="R374" s="36"/>
      <c r="S374" s="36"/>
      <c r="T374" s="36"/>
      <c r="U374" s="108"/>
      <c r="V374" s="36"/>
      <c r="W374" s="36"/>
      <c r="X374" s="36"/>
      <c r="Y374" s="36"/>
      <c r="Z374" s="36"/>
      <c r="AA374" s="36"/>
      <c r="AB374" s="36"/>
      <c r="AC374" s="36"/>
      <c r="AD374" s="36"/>
      <c r="AE374" s="36"/>
      <c r="AF374" s="36"/>
      <c r="AG374" s="36"/>
      <c r="AH374" s="36"/>
      <c r="AI374" s="36"/>
      <c r="AJ374" s="36"/>
      <c r="AK374" s="36"/>
      <c r="AL374" s="36"/>
      <c r="AM374" s="36"/>
      <c r="AN374" s="37"/>
      <c r="AO374" s="37"/>
      <c r="AP374" s="37"/>
      <c r="AQ374" s="37"/>
      <c r="AR374" s="37"/>
      <c r="AS374" s="37"/>
      <c r="AT374" s="37"/>
      <c r="AU374" s="37"/>
      <c r="AV374" s="37"/>
      <c r="AW374" s="37"/>
      <c r="AX374" s="37"/>
      <c r="AY374" s="37"/>
      <c r="AZ374" s="37"/>
      <c r="BA374" s="37"/>
      <c r="BB374" s="37"/>
      <c r="BC374" s="37"/>
      <c r="BD374" s="37"/>
      <c r="BE374" s="37"/>
    </row>
    <row r="375" spans="2:57" s="31" customFormat="1" ht="15.5" x14ac:dyDescent="0.3">
      <c r="B375" s="155" t="s">
        <v>488</v>
      </c>
      <c r="C375" s="34"/>
      <c r="D375" s="84"/>
      <c r="G375" s="34"/>
      <c r="H375" s="84"/>
      <c r="J375" s="33"/>
      <c r="K375" s="38" t="s">
        <v>329</v>
      </c>
      <c r="L375" s="38" t="s">
        <v>201</v>
      </c>
      <c r="M375" s="84"/>
      <c r="N375" s="84"/>
      <c r="O375" s="257"/>
      <c r="Q375" s="35"/>
      <c r="R375" s="36" t="s">
        <v>350</v>
      </c>
      <c r="S375" s="36"/>
      <c r="T375" s="36" t="s">
        <v>275</v>
      </c>
      <c r="U375" s="108"/>
      <c r="V375" s="36"/>
      <c r="W375" s="36"/>
      <c r="X375" s="36"/>
      <c r="Y375" s="36"/>
      <c r="Z375" s="36"/>
      <c r="AA375" s="36"/>
      <c r="AB375" s="36"/>
      <c r="AC375" s="36"/>
      <c r="AD375" s="36"/>
      <c r="AE375" s="36"/>
      <c r="AF375" s="36"/>
      <c r="AG375" s="36"/>
      <c r="AH375" s="36"/>
      <c r="AI375" s="36"/>
      <c r="AJ375" s="36"/>
      <c r="AK375" s="36"/>
      <c r="AL375" s="36"/>
      <c r="AM375" s="36"/>
      <c r="AN375" s="37"/>
      <c r="AO375" s="37"/>
      <c r="AP375" s="37"/>
      <c r="AQ375" s="37"/>
      <c r="AR375" s="37"/>
      <c r="AS375" s="37"/>
      <c r="AT375" s="37"/>
      <c r="AU375" s="37"/>
      <c r="AV375" s="37"/>
      <c r="AW375" s="37"/>
      <c r="AX375" s="37"/>
      <c r="AY375" s="37"/>
      <c r="AZ375" s="37"/>
      <c r="BA375" s="37"/>
      <c r="BB375" s="37"/>
      <c r="BC375" s="37"/>
      <c r="BD375" s="37"/>
      <c r="BE375" s="37"/>
    </row>
    <row r="376" spans="2:57" s="31" customFormat="1" ht="15.5" x14ac:dyDescent="0.3">
      <c r="B376" s="54" t="s">
        <v>510</v>
      </c>
      <c r="C376" s="392" t="s">
        <v>128</v>
      </c>
      <c r="D376" s="393"/>
      <c r="E376" s="393"/>
      <c r="F376" s="393"/>
      <c r="G376" s="394"/>
      <c r="H376" s="84"/>
      <c r="J376" s="33" t="s">
        <v>470</v>
      </c>
      <c r="K376" s="96">
        <f>IF(ISNUMBER(L376),L376,IF(OR(C376=Pudotusvalikot!$D$67,C376=Pudotusvalikot!$D$68),"--",VLOOKUP(C376,Kalusto!$C$5:$E$42,3,FALSE)*IF(OR(C377=Pudotusvalikot!$V$3,C377=Pudotusvalikot!$V$4),Muut!$E$38,IF(C377=Pudotusvalikot!$V$5,Muut!$E$39,IF(C377=Pudotusvalikot!$V$6,Muut!$E$40,Muut!$E$41)))))</f>
        <v>34.130000000000003</v>
      </c>
      <c r="L376" s="40"/>
      <c r="M376" s="41" t="s">
        <v>205</v>
      </c>
      <c r="N376" s="41"/>
      <c r="O376" s="256"/>
      <c r="Q376" s="35"/>
      <c r="R376" s="50" t="str">
        <f>IF(ISNUMBER(K376*T376),K376*T376,"")</f>
        <v/>
      </c>
      <c r="S376" s="102" t="s">
        <v>172</v>
      </c>
      <c r="T376" s="50" t="str">
        <f>IF(ISNUMBER(C378),C378,"")</f>
        <v/>
      </c>
      <c r="U376" s="108"/>
      <c r="V376" s="61"/>
      <c r="W376" s="36"/>
      <c r="X376" s="36"/>
      <c r="Y376" s="36"/>
      <c r="Z376" s="36"/>
      <c r="AA376" s="36"/>
      <c r="AB376" s="36"/>
      <c r="AC376" s="36"/>
      <c r="AD376" s="36"/>
      <c r="AE376" s="36"/>
      <c r="AF376" s="36"/>
      <c r="AG376" s="36"/>
      <c r="AH376" s="36"/>
      <c r="AI376" s="36"/>
      <c r="AJ376" s="36"/>
      <c r="AK376" s="36"/>
      <c r="AL376" s="36"/>
      <c r="AM376" s="36"/>
      <c r="AN376" s="37"/>
      <c r="AO376" s="37"/>
      <c r="AP376" s="37"/>
      <c r="AQ376" s="37"/>
      <c r="AR376" s="37"/>
      <c r="AS376" s="37"/>
      <c r="AT376" s="37"/>
      <c r="AU376" s="37"/>
      <c r="AV376" s="37"/>
      <c r="AW376" s="37"/>
      <c r="AX376" s="37"/>
      <c r="AY376" s="37"/>
      <c r="AZ376" s="37"/>
      <c r="BA376" s="37"/>
      <c r="BB376" s="37"/>
      <c r="BC376" s="37"/>
      <c r="BD376" s="37"/>
      <c r="BE376" s="37"/>
    </row>
    <row r="377" spans="2:57" s="31" customFormat="1" ht="15.5" x14ac:dyDescent="0.3">
      <c r="B377" s="170" t="s">
        <v>509</v>
      </c>
      <c r="C377" s="160" t="s">
        <v>242</v>
      </c>
      <c r="D377" s="34"/>
      <c r="E377" s="34"/>
      <c r="F377" s="34"/>
      <c r="G377" s="34"/>
      <c r="H377" s="59"/>
      <c r="J377" s="173"/>
      <c r="K377" s="173"/>
      <c r="L377" s="173"/>
      <c r="M377" s="41"/>
      <c r="N377" s="41"/>
      <c r="O377" s="256"/>
      <c r="Q377" s="47"/>
      <c r="R377" s="61"/>
      <c r="S377" s="102"/>
      <c r="T377" s="36"/>
      <c r="U377" s="36"/>
      <c r="V377" s="181"/>
      <c r="W377" s="181"/>
      <c r="X377" s="61"/>
      <c r="Y377" s="36"/>
      <c r="Z377" s="61"/>
      <c r="AA377" s="182"/>
      <c r="AB377" s="61"/>
      <c r="AC377" s="61"/>
      <c r="AD377" s="61"/>
      <c r="AE377" s="61"/>
      <c r="AF377" s="182"/>
      <c r="AG377" s="61"/>
      <c r="AH377" s="36"/>
      <c r="AI377" s="36"/>
      <c r="AJ377" s="36"/>
      <c r="AK377" s="108"/>
      <c r="AL377" s="36"/>
      <c r="AM377" s="36"/>
      <c r="AN377" s="37"/>
      <c r="AO377" s="37"/>
      <c r="AP377" s="37"/>
      <c r="AQ377" s="37"/>
      <c r="AR377" s="37"/>
      <c r="AS377" s="37"/>
      <c r="AT377" s="37"/>
      <c r="AU377" s="37"/>
      <c r="AV377" s="37"/>
      <c r="AW377" s="37"/>
      <c r="AX377" s="37"/>
      <c r="AY377" s="37"/>
      <c r="AZ377" s="37"/>
      <c r="BA377" s="37"/>
      <c r="BB377" s="37"/>
      <c r="BC377" s="37"/>
      <c r="BD377" s="37"/>
      <c r="BE377" s="37"/>
    </row>
    <row r="378" spans="2:57" s="31" customFormat="1" ht="15.5" x14ac:dyDescent="0.3">
      <c r="B378" s="54" t="s">
        <v>392</v>
      </c>
      <c r="C378" s="193"/>
      <c r="D378" s="84" t="s">
        <v>51</v>
      </c>
      <c r="G378" s="34"/>
      <c r="H378" s="84"/>
      <c r="J378" s="33"/>
      <c r="K378" s="34"/>
      <c r="L378" s="34"/>
      <c r="M378" s="84"/>
      <c r="N378" s="84"/>
      <c r="O378" s="257"/>
      <c r="Q378" s="35"/>
      <c r="R378" s="36"/>
      <c r="S378" s="36"/>
      <c r="T378" s="36"/>
      <c r="U378" s="108"/>
      <c r="V378" s="36"/>
      <c r="W378" s="36"/>
      <c r="X378" s="36"/>
      <c r="Y378" s="36"/>
      <c r="Z378" s="36"/>
      <c r="AA378" s="36"/>
      <c r="AB378" s="36"/>
      <c r="AC378" s="36"/>
      <c r="AD378" s="36"/>
      <c r="AE378" s="36"/>
      <c r="AF378" s="36"/>
      <c r="AG378" s="36"/>
      <c r="AH378" s="36"/>
      <c r="AI378" s="36"/>
      <c r="AJ378" s="36"/>
      <c r="AK378" s="36"/>
      <c r="AL378" s="36"/>
      <c r="AM378" s="36"/>
      <c r="AN378" s="37"/>
      <c r="AO378" s="37"/>
      <c r="AP378" s="37"/>
      <c r="AQ378" s="37"/>
      <c r="AR378" s="37"/>
      <c r="AS378" s="37"/>
      <c r="AT378" s="37"/>
      <c r="AU378" s="37"/>
      <c r="AV378" s="37"/>
      <c r="AW378" s="37"/>
      <c r="AX378" s="37"/>
      <c r="AY378" s="37"/>
      <c r="AZ378" s="37"/>
      <c r="BA378" s="37"/>
      <c r="BB378" s="37"/>
      <c r="BC378" s="37"/>
      <c r="BD378" s="37"/>
      <c r="BE378" s="37"/>
    </row>
    <row r="379" spans="2:57" s="31" customFormat="1" ht="15.5" x14ac:dyDescent="0.3">
      <c r="B379" s="155" t="s">
        <v>489</v>
      </c>
      <c r="C379" s="34"/>
      <c r="D379" s="84"/>
      <c r="G379" s="34"/>
      <c r="H379" s="84"/>
      <c r="J379" s="33"/>
      <c r="K379" s="38" t="s">
        <v>329</v>
      </c>
      <c r="L379" s="38" t="s">
        <v>201</v>
      </c>
      <c r="M379" s="84"/>
      <c r="N379" s="84"/>
      <c r="O379" s="257"/>
      <c r="Q379" s="35"/>
      <c r="R379" s="36" t="s">
        <v>350</v>
      </c>
      <c r="S379" s="36"/>
      <c r="T379" s="36" t="s">
        <v>275</v>
      </c>
      <c r="U379" s="108"/>
      <c r="V379" s="36"/>
      <c r="W379" s="36"/>
      <c r="X379" s="36"/>
      <c r="Y379" s="36"/>
      <c r="Z379" s="36"/>
      <c r="AA379" s="36"/>
      <c r="AB379" s="36"/>
      <c r="AC379" s="36"/>
      <c r="AD379" s="36"/>
      <c r="AE379" s="36"/>
      <c r="AF379" s="36"/>
      <c r="AG379" s="36"/>
      <c r="AH379" s="36"/>
      <c r="AI379" s="36"/>
      <c r="AJ379" s="36"/>
      <c r="AK379" s="36"/>
      <c r="AL379" s="36"/>
      <c r="AM379" s="36"/>
      <c r="AN379" s="37"/>
      <c r="AO379" s="37"/>
      <c r="AP379" s="37"/>
      <c r="AQ379" s="37"/>
      <c r="AR379" s="37"/>
      <c r="AS379" s="37"/>
      <c r="AT379" s="37"/>
      <c r="AU379" s="37"/>
      <c r="AV379" s="37"/>
      <c r="AW379" s="37"/>
      <c r="AX379" s="37"/>
      <c r="AY379" s="37"/>
      <c r="AZ379" s="37"/>
      <c r="BA379" s="37"/>
      <c r="BB379" s="37"/>
      <c r="BC379" s="37"/>
      <c r="BD379" s="37"/>
      <c r="BE379" s="37"/>
    </row>
    <row r="380" spans="2:57" s="31" customFormat="1" ht="15.5" x14ac:dyDescent="0.3">
      <c r="B380" s="54" t="s">
        <v>510</v>
      </c>
      <c r="C380" s="392" t="s">
        <v>128</v>
      </c>
      <c r="D380" s="393"/>
      <c r="E380" s="393"/>
      <c r="F380" s="393"/>
      <c r="G380" s="394"/>
      <c r="H380" s="84"/>
      <c r="J380" s="33" t="s">
        <v>470</v>
      </c>
      <c r="K380" s="96">
        <f>IF(ISNUMBER(L380),L380,IF(OR(C380=Pudotusvalikot!$D$67,C380=Pudotusvalikot!$D$68),"--",VLOOKUP(C380,Kalusto!$C$5:$E$42,3,FALSE)*IF(OR(C381=Pudotusvalikot!$V$3,C381=Pudotusvalikot!$V$4),Muut!$E$38,IF(C381=Pudotusvalikot!$V$5,Muut!$E$39,IF(C381=Pudotusvalikot!$V$6,Muut!$E$40,Muut!$E$41)))))</f>
        <v>34.130000000000003</v>
      </c>
      <c r="L380" s="40"/>
      <c r="M380" s="41" t="s">
        <v>205</v>
      </c>
      <c r="N380" s="41"/>
      <c r="O380" s="256"/>
      <c r="Q380" s="35"/>
      <c r="R380" s="50" t="str">
        <f>IF(ISNUMBER(K380*T380),K380*T380,"")</f>
        <v/>
      </c>
      <c r="S380" s="102" t="s">
        <v>172</v>
      </c>
      <c r="T380" s="50" t="str">
        <f>IF(ISNUMBER(C382),C382,"")</f>
        <v/>
      </c>
      <c r="U380" s="108"/>
      <c r="V380" s="61"/>
      <c r="W380" s="36"/>
      <c r="X380" s="36"/>
      <c r="Y380" s="36"/>
      <c r="Z380" s="36"/>
      <c r="AA380" s="36"/>
      <c r="AB380" s="36"/>
      <c r="AC380" s="36"/>
      <c r="AD380" s="36"/>
      <c r="AE380" s="36"/>
      <c r="AF380" s="36"/>
      <c r="AG380" s="36"/>
      <c r="AH380" s="36"/>
      <c r="AI380" s="36"/>
      <c r="AJ380" s="36"/>
      <c r="AK380" s="36"/>
      <c r="AL380" s="36"/>
      <c r="AM380" s="36"/>
      <c r="AN380" s="37"/>
      <c r="AO380" s="37"/>
      <c r="AP380" s="37"/>
      <c r="AQ380" s="37"/>
      <c r="AR380" s="37"/>
      <c r="AS380" s="37"/>
      <c r="AT380" s="37"/>
      <c r="AU380" s="37"/>
      <c r="AV380" s="37"/>
      <c r="AW380" s="37"/>
      <c r="AX380" s="37"/>
      <c r="AY380" s="37"/>
      <c r="AZ380" s="37"/>
      <c r="BA380" s="37"/>
      <c r="BB380" s="37"/>
      <c r="BC380" s="37"/>
      <c r="BD380" s="37"/>
      <c r="BE380" s="37"/>
    </row>
    <row r="381" spans="2:57" s="31" customFormat="1" ht="15.5" x14ac:dyDescent="0.3">
      <c r="B381" s="170" t="s">
        <v>509</v>
      </c>
      <c r="C381" s="160" t="s">
        <v>242</v>
      </c>
      <c r="D381" s="34"/>
      <c r="E381" s="34"/>
      <c r="F381" s="34"/>
      <c r="G381" s="34"/>
      <c r="H381" s="59"/>
      <c r="J381" s="173"/>
      <c r="K381" s="173"/>
      <c r="L381" s="173"/>
      <c r="M381" s="41"/>
      <c r="N381" s="41"/>
      <c r="O381" s="256"/>
      <c r="Q381" s="47"/>
      <c r="R381" s="61"/>
      <c r="S381" s="102"/>
      <c r="T381" s="36"/>
      <c r="U381" s="36"/>
      <c r="V381" s="181"/>
      <c r="W381" s="181"/>
      <c r="X381" s="61"/>
      <c r="Y381" s="36"/>
      <c r="Z381" s="61"/>
      <c r="AA381" s="182"/>
      <c r="AB381" s="61"/>
      <c r="AC381" s="61"/>
      <c r="AD381" s="61"/>
      <c r="AE381" s="61"/>
      <c r="AF381" s="182"/>
      <c r="AG381" s="61"/>
      <c r="AH381" s="36"/>
      <c r="AI381" s="36"/>
      <c r="AJ381" s="36"/>
      <c r="AK381" s="108"/>
      <c r="AL381" s="36"/>
      <c r="AM381" s="36"/>
      <c r="AN381" s="37"/>
      <c r="AO381" s="37"/>
      <c r="AP381" s="37"/>
      <c r="AQ381" s="37"/>
      <c r="AR381" s="37"/>
      <c r="AS381" s="37"/>
      <c r="AT381" s="37"/>
      <c r="AU381" s="37"/>
      <c r="AV381" s="37"/>
      <c r="AW381" s="37"/>
      <c r="AX381" s="37"/>
      <c r="AY381" s="37"/>
      <c r="AZ381" s="37"/>
      <c r="BA381" s="37"/>
      <c r="BB381" s="37"/>
      <c r="BC381" s="37"/>
      <c r="BD381" s="37"/>
      <c r="BE381" s="37"/>
    </row>
    <row r="382" spans="2:57" s="31" customFormat="1" ht="15.5" x14ac:dyDescent="0.3">
      <c r="B382" s="54" t="s">
        <v>392</v>
      </c>
      <c r="C382" s="193"/>
      <c r="D382" s="84" t="s">
        <v>51</v>
      </c>
      <c r="G382" s="34"/>
      <c r="H382" s="84"/>
      <c r="J382" s="33"/>
      <c r="K382" s="34"/>
      <c r="L382" s="34"/>
      <c r="M382" s="84"/>
      <c r="N382" s="84"/>
      <c r="O382" s="257"/>
      <c r="Q382" s="35"/>
      <c r="R382" s="99"/>
      <c r="S382" s="36"/>
      <c r="T382" s="36"/>
      <c r="U382" s="36"/>
      <c r="V382" s="36"/>
      <c r="W382" s="36"/>
      <c r="X382" s="36"/>
      <c r="Y382" s="36"/>
      <c r="Z382" s="36"/>
      <c r="AA382" s="36"/>
      <c r="AB382" s="36"/>
      <c r="AC382" s="36"/>
      <c r="AD382" s="36"/>
      <c r="AE382" s="36"/>
      <c r="AF382" s="36"/>
      <c r="AG382" s="36"/>
      <c r="AH382" s="36"/>
      <c r="AI382" s="36"/>
      <c r="AJ382" s="36"/>
      <c r="AK382" s="36"/>
      <c r="AL382" s="36"/>
      <c r="AM382" s="36"/>
      <c r="AN382" s="37"/>
      <c r="AO382" s="37"/>
      <c r="AP382" s="37"/>
      <c r="AQ382" s="37"/>
      <c r="AR382" s="37"/>
      <c r="AS382" s="37"/>
      <c r="AT382" s="37"/>
      <c r="AU382" s="37"/>
      <c r="AV382" s="37"/>
      <c r="AW382" s="37"/>
      <c r="AX382" s="37"/>
      <c r="AY382" s="37"/>
      <c r="AZ382" s="37"/>
      <c r="BA382" s="37"/>
      <c r="BB382" s="37"/>
      <c r="BC382" s="37"/>
      <c r="BD382" s="37"/>
      <c r="BE382" s="37"/>
    </row>
    <row r="383" spans="2:57" s="31" customFormat="1" ht="15.5" x14ac:dyDescent="0.3">
      <c r="C383" s="34"/>
      <c r="D383" s="84"/>
      <c r="G383" s="34"/>
      <c r="H383" s="84"/>
      <c r="K383" s="34"/>
      <c r="L383" s="34"/>
      <c r="M383" s="84"/>
      <c r="N383" s="84"/>
      <c r="O383" s="255"/>
      <c r="Q383" s="35"/>
      <c r="R383" s="99"/>
      <c r="S383" s="36"/>
      <c r="T383" s="36"/>
      <c r="U383" s="36"/>
      <c r="V383" s="36"/>
      <c r="W383" s="36"/>
      <c r="X383" s="36"/>
      <c r="Y383" s="36"/>
      <c r="Z383" s="36"/>
      <c r="AA383" s="36"/>
      <c r="AB383" s="36"/>
      <c r="AC383" s="36"/>
      <c r="AD383" s="36"/>
      <c r="AE383" s="36"/>
      <c r="AF383" s="36"/>
      <c r="AG383" s="36"/>
      <c r="AH383" s="36"/>
      <c r="AI383" s="36"/>
      <c r="AJ383" s="36"/>
      <c r="AK383" s="36"/>
      <c r="AL383" s="36"/>
      <c r="AM383" s="36"/>
      <c r="AN383" s="37"/>
      <c r="AO383" s="37"/>
      <c r="AP383" s="37"/>
      <c r="AQ383" s="37"/>
      <c r="AR383" s="37"/>
      <c r="AS383" s="37"/>
      <c r="AT383" s="37"/>
      <c r="AU383" s="37"/>
      <c r="AV383" s="37"/>
      <c r="AW383" s="37"/>
      <c r="AX383" s="37"/>
      <c r="AY383" s="37"/>
      <c r="AZ383" s="37"/>
      <c r="BA383" s="37"/>
      <c r="BB383" s="37"/>
      <c r="BC383" s="37"/>
      <c r="BD383" s="37"/>
      <c r="BE383" s="37"/>
    </row>
    <row r="384" spans="2:57" s="298" customFormat="1" ht="18" x14ac:dyDescent="0.3">
      <c r="B384" s="295" t="s">
        <v>745</v>
      </c>
      <c r="C384" s="296"/>
      <c r="D384" s="297"/>
      <c r="G384" s="296"/>
      <c r="H384" s="297"/>
      <c r="K384" s="299"/>
      <c r="L384" s="299"/>
      <c r="M384" s="297"/>
      <c r="N384" s="297"/>
      <c r="O384" s="300"/>
      <c r="Q384" s="301"/>
      <c r="R384" s="302" t="str">
        <f>IF(OR(ISNUMBER(#REF!),ISNUMBER(#REF!),ISNUMBER(#REF!),ISNUMBER(#REF!),ISNUMBER(#REF!)),SUM(#REF!,#REF!,#REF!,#REF!,#REF!),"")</f>
        <v/>
      </c>
      <c r="S384" s="303"/>
      <c r="T384" s="303"/>
      <c r="U384" s="303"/>
      <c r="V384" s="303"/>
      <c r="W384" s="303"/>
      <c r="X384" s="303"/>
      <c r="Y384" s="303"/>
      <c r="Z384" s="303"/>
      <c r="AA384" s="303"/>
      <c r="AB384" s="303"/>
      <c r="AC384" s="303"/>
      <c r="AD384" s="303"/>
      <c r="AE384" s="303"/>
      <c r="AF384" s="303"/>
      <c r="AG384" s="303"/>
      <c r="AH384" s="303"/>
      <c r="AI384" s="303"/>
      <c r="AJ384" s="303"/>
      <c r="AK384" s="303"/>
      <c r="AL384" s="303"/>
      <c r="AM384" s="303"/>
      <c r="AN384" s="304"/>
      <c r="AO384" s="304"/>
      <c r="AP384" s="304"/>
      <c r="AQ384" s="304"/>
      <c r="AR384" s="304"/>
      <c r="AS384" s="304"/>
      <c r="AT384" s="304"/>
      <c r="AU384" s="304"/>
      <c r="AV384" s="304"/>
      <c r="AW384" s="304"/>
      <c r="AX384" s="304"/>
      <c r="AY384" s="304"/>
      <c r="AZ384" s="304"/>
      <c r="BA384" s="304"/>
      <c r="BB384" s="304"/>
      <c r="BC384" s="304"/>
      <c r="BD384" s="304"/>
      <c r="BE384" s="304"/>
    </row>
    <row r="385" spans="2:57" s="31" customFormat="1" ht="15.5" x14ac:dyDescent="0.3">
      <c r="B385" s="9"/>
      <c r="C385" s="34"/>
      <c r="D385" s="84"/>
      <c r="E385" s="34"/>
      <c r="F385" s="34"/>
      <c r="G385" s="38"/>
      <c r="H385" s="84"/>
      <c r="J385" s="33"/>
      <c r="K385" s="38"/>
      <c r="L385" s="38"/>
      <c r="M385" s="86"/>
      <c r="N385" s="86"/>
      <c r="O385" s="255" t="s">
        <v>644</v>
      </c>
      <c r="P385" s="38"/>
      <c r="Q385" s="35"/>
      <c r="R385" s="99"/>
      <c r="S385" s="36"/>
      <c r="T385" s="36"/>
      <c r="U385" s="36"/>
      <c r="V385" s="36"/>
      <c r="W385" s="36"/>
      <c r="X385" s="36"/>
      <c r="Y385" s="36"/>
      <c r="Z385" s="36"/>
      <c r="AA385" s="36"/>
      <c r="AB385" s="36"/>
      <c r="AC385" s="36"/>
      <c r="AD385" s="36"/>
      <c r="AE385" s="36"/>
      <c r="AF385" s="36"/>
      <c r="AG385" s="36"/>
      <c r="AH385" s="36"/>
      <c r="AI385" s="36"/>
      <c r="AJ385" s="36"/>
      <c r="AK385" s="36"/>
      <c r="AL385" s="36"/>
      <c r="AM385" s="36"/>
      <c r="AN385" s="37"/>
      <c r="AO385" s="37"/>
      <c r="AP385" s="37"/>
      <c r="AQ385" s="37"/>
      <c r="AR385" s="37"/>
      <c r="AS385" s="37"/>
      <c r="AT385" s="37"/>
      <c r="AU385" s="37"/>
      <c r="AV385" s="37"/>
      <c r="AW385" s="37"/>
      <c r="AX385" s="37"/>
      <c r="AY385" s="37"/>
      <c r="AZ385" s="37"/>
      <c r="BA385" s="37"/>
      <c r="BB385" s="37"/>
      <c r="BC385" s="37"/>
      <c r="BD385" s="37"/>
      <c r="BE385" s="37"/>
    </row>
    <row r="386" spans="2:57" s="31" customFormat="1" ht="15.5" x14ac:dyDescent="0.3">
      <c r="B386" s="155" t="s">
        <v>0</v>
      </c>
      <c r="C386" s="34" t="s">
        <v>50</v>
      </c>
      <c r="D386" s="84"/>
      <c r="E386" s="34"/>
      <c r="F386" s="34"/>
      <c r="G386" s="38" t="s">
        <v>199</v>
      </c>
      <c r="H386" s="84"/>
      <c r="J386" s="33"/>
      <c r="K386" s="38" t="s">
        <v>329</v>
      </c>
      <c r="L386" s="38" t="s">
        <v>201</v>
      </c>
      <c r="M386" s="86"/>
      <c r="N386" s="86"/>
      <c r="O386" s="256"/>
      <c r="P386" s="38"/>
      <c r="Q386" s="35"/>
      <c r="R386" s="36" t="s">
        <v>350</v>
      </c>
      <c r="S386" s="36"/>
      <c r="T386" s="36" t="s">
        <v>446</v>
      </c>
      <c r="U386" s="36" t="s">
        <v>445</v>
      </c>
      <c r="V386" s="36" t="s">
        <v>443</v>
      </c>
      <c r="W386" s="36" t="s">
        <v>444</v>
      </c>
      <c r="X386" s="36" t="s">
        <v>447</v>
      </c>
      <c r="Y386" s="36" t="s">
        <v>449</v>
      </c>
      <c r="Z386" s="36" t="s">
        <v>448</v>
      </c>
      <c r="AA386" s="36" t="s">
        <v>202</v>
      </c>
      <c r="AB386" s="36" t="s">
        <v>380</v>
      </c>
      <c r="AC386" s="36" t="s">
        <v>450</v>
      </c>
      <c r="AD386" s="36" t="s">
        <v>381</v>
      </c>
      <c r="AE386" s="36" t="s">
        <v>451</v>
      </c>
      <c r="AF386" s="36" t="s">
        <v>452</v>
      </c>
      <c r="AG386" s="36" t="s">
        <v>638</v>
      </c>
      <c r="AH386" s="36" t="s">
        <v>206</v>
      </c>
      <c r="AI386" s="36" t="s">
        <v>278</v>
      </c>
      <c r="AJ386" s="36" t="s">
        <v>207</v>
      </c>
      <c r="AK386" s="108"/>
      <c r="AL386" s="36"/>
      <c r="AM386" s="36"/>
      <c r="AN386" s="37"/>
      <c r="AO386" s="37"/>
      <c r="AP386" s="37"/>
      <c r="AQ386" s="37"/>
      <c r="AR386" s="37"/>
      <c r="AS386" s="37"/>
      <c r="AT386" s="37"/>
      <c r="AU386" s="37"/>
      <c r="AV386" s="37"/>
      <c r="AW386" s="37"/>
      <c r="AX386" s="37"/>
      <c r="AY386" s="37"/>
      <c r="AZ386" s="37"/>
      <c r="BA386" s="37"/>
      <c r="BB386" s="37"/>
      <c r="BC386" s="37"/>
      <c r="BD386" s="37"/>
      <c r="BE386" s="37"/>
    </row>
    <row r="387" spans="2:57" s="31" customFormat="1" ht="46.5" x14ac:dyDescent="0.3">
      <c r="B387" s="170" t="s">
        <v>553</v>
      </c>
      <c r="C387" s="160"/>
      <c r="D387" s="89" t="s">
        <v>52</v>
      </c>
      <c r="E387" s="59"/>
      <c r="F387" s="57"/>
      <c r="G387" s="369"/>
      <c r="H387" s="84" t="str">
        <f>IF(D387="t","","t/m3")</f>
        <v/>
      </c>
      <c r="J387" s="173" t="s">
        <v>441</v>
      </c>
      <c r="K387" s="96">
        <f>IF(ISNUMBER(L387),L387,IF(OR(C388=Pudotusvalikot!$D$14,C388=Pudotusvalikot!$D$15),Kalusto!$G$96,VLOOKUP(C388,Kalusto!$C$44:$G$83,5,FALSE))*IF(OR(C389=Pudotusvalikot!$V$3,C389=Pudotusvalikot!$V$4),Muut!$E$38,IF(C389=Pudotusvalikot!$V$5,Muut!$E$39,IF(C389=Pudotusvalikot!$V$6,Muut!$E$40,Muut!$E$41))))</f>
        <v>5.7709999999999997E-2</v>
      </c>
      <c r="L387" s="40"/>
      <c r="M387" s="41" t="s">
        <v>200</v>
      </c>
      <c r="N387" s="41"/>
      <c r="O387" s="256"/>
      <c r="Q387" s="47"/>
      <c r="R387" s="50" t="str">
        <f ca="1">IF(AND(NOT(ISNUMBER(AB387)),NOT(ISNUMBER(AG387))),"",IF(ISNUMBER(AB387),AB387,0)+IF(ISNUMBER(AG387),AG387,0))</f>
        <v/>
      </c>
      <c r="S387" s="102" t="s">
        <v>172</v>
      </c>
      <c r="T387" s="48" t="str">
        <f>IF(ISNUMBER(L387),"Kohdetieto",IF(OR(C388=Pudotusvalikot!$D$14,C388=Pudotusvalikot!$D$15),Kalusto!$I$96,VLOOKUP(C388,Kalusto!$C$44:$L$83,7,FALSE)))</f>
        <v>Maansiirtoauto</v>
      </c>
      <c r="U387" s="48">
        <f>IF(ISNUMBER(L387),"Kohdetieto",IF(OR(C388=Pudotusvalikot!$D$14,C388=Pudotusvalikot!$D$15),Kalusto!$J$96,VLOOKUP(C388,Kalusto!$C$44:$L$83,8,FALSE)))</f>
        <v>32</v>
      </c>
      <c r="V387" s="49">
        <f>IF(ISNUMBER(L387),"Kohdetieto",IF(OR(C388=Pudotusvalikot!$D$14,C388=Pudotusvalikot!$D$15),Kalusto!$K$96,VLOOKUP(C388,Kalusto!$C$44:$L$83,9,FALSE)))</f>
        <v>0.8</v>
      </c>
      <c r="W387" s="49" t="str">
        <f>IF(ISNUMBER(L387),"Kohdetieto",IF(OR(C388=Pudotusvalikot!$D$14,C388=Pudotusvalikot!$D$15),Kalusto!$L$96,VLOOKUP(C388,Kalusto!$C$44:$L$83,10,FALSE)))</f>
        <v>maantieajo</v>
      </c>
      <c r="X387" s="50" t="str">
        <f>IF(ISBLANK(C387),"",IF(D387="t",C387,C387*G387))</f>
        <v/>
      </c>
      <c r="Y387" s="48" t="str">
        <f>IF(ISNUMBER(C390),C390,"")</f>
        <v/>
      </c>
      <c r="Z387" s="50" t="str">
        <f>IF(ISNUMBER(X387/(U387*V387)*Y387),X387/(U387*V387)*Y387,"")</f>
        <v/>
      </c>
      <c r="AA387" s="51">
        <f>IF(ISNUMBER(L387),L387,K387)</f>
        <v>5.7709999999999997E-2</v>
      </c>
      <c r="AB387" s="50" t="str">
        <f>IF(ISNUMBER(Y387*X387*K387),Y387*X387*K387,"")</f>
        <v/>
      </c>
      <c r="AC387" s="50" t="str">
        <f>IF(ISNUMBER(Y387),Y387,"")</f>
        <v/>
      </c>
      <c r="AD387" s="50" t="str">
        <f>IF(ISNUMBER(X387),IF(ISNUMBER(X387/(U387*V387)),CEILING(X387/(U387*V387),1),""),"")</f>
        <v/>
      </c>
      <c r="AE387" s="50" t="str">
        <f>IF(ISNUMBER(AD387*AC387),AD387*AC387,"")</f>
        <v/>
      </c>
      <c r="AF387" s="51">
        <f ca="1">IF(ISNUMBER(L388),L388,K388)</f>
        <v>0.71940999999999999</v>
      </c>
      <c r="AG387" s="50" t="str">
        <f ca="1">IF(ISNUMBER(AC387*AD387*K388),AC387*AD387*K388,"")</f>
        <v/>
      </c>
      <c r="AH387" s="48">
        <f>IF(T387="Jakelukuorma-auto",0,IF(T387="Maansiirtoauto",4,IF(T387="Puoliperävaunu",6,8)))</f>
        <v>4</v>
      </c>
      <c r="AI387" s="48">
        <f>IF(AND(T387="Jakelukuorma-auto",U387=6),0,IF(AND(T387="Jakelukuorma-auto",U387=15),2,0))</f>
        <v>0</v>
      </c>
      <c r="AJ387" s="48">
        <f>IF(W387="maantieajo",0,1)</f>
        <v>0</v>
      </c>
      <c r="AK387" s="108"/>
      <c r="AL387" s="36"/>
      <c r="AM387" s="36"/>
      <c r="AN387" s="37"/>
      <c r="AO387" s="37"/>
      <c r="AP387" s="37"/>
      <c r="AQ387" s="37"/>
      <c r="AR387" s="37"/>
      <c r="AS387" s="37"/>
      <c r="AT387" s="37"/>
      <c r="AU387" s="37"/>
      <c r="AV387" s="37"/>
      <c r="AW387" s="37"/>
      <c r="AX387" s="37"/>
      <c r="AY387" s="37"/>
      <c r="AZ387" s="37"/>
      <c r="BA387" s="37"/>
      <c r="BB387" s="37"/>
      <c r="BC387" s="37"/>
      <c r="BD387" s="37"/>
      <c r="BE387" s="37"/>
    </row>
    <row r="388" spans="2:57" s="31" customFormat="1" ht="31" x14ac:dyDescent="0.3">
      <c r="B388" s="170" t="s">
        <v>550</v>
      </c>
      <c r="C388" s="392" t="s">
        <v>330</v>
      </c>
      <c r="D388" s="393"/>
      <c r="E388" s="393"/>
      <c r="F388" s="393"/>
      <c r="G388" s="394"/>
      <c r="J388" s="33" t="s">
        <v>442</v>
      </c>
      <c r="K388" s="96">
        <f ca="1">IF(ISNUMBER(L388),L388,IF($C$100="Ei","",IF(AND($C$100="Kyllä",OR(C388=Pudotusvalikot!$D$14,C388=Pudotusvalikot!$D$15)),Kalusto!$G$97,OFFSET(Kalusto!$G$85,AH387+AJ387+AI387,0,1,1)))*IF(OR(C389=Pudotusvalikot!$V$3,C389=Pudotusvalikot!$V$4),Muut!$E$38,IF(C389=Pudotusvalikot!$V$5,Muut!$E$39,IF(C389=Pudotusvalikot!$V$6,Muut!$E$40,Muut!$E$41))))</f>
        <v>0.71940999999999999</v>
      </c>
      <c r="L388" s="40"/>
      <c r="M388" s="41" t="s">
        <v>204</v>
      </c>
      <c r="N388" s="41"/>
      <c r="O388" s="256"/>
      <c r="P388" s="34"/>
      <c r="Q388" s="52"/>
      <c r="R388" s="36"/>
      <c r="S388" s="36"/>
      <c r="T388" s="36"/>
      <c r="U388" s="36"/>
      <c r="V388" s="36"/>
      <c r="W388" s="36"/>
      <c r="X388" s="36"/>
      <c r="Y388" s="36"/>
      <c r="Z388" s="36"/>
      <c r="AA388" s="36"/>
      <c r="AB388" s="36"/>
      <c r="AC388" s="36"/>
      <c r="AD388" s="36"/>
      <c r="AE388" s="36"/>
      <c r="AF388" s="36"/>
      <c r="AG388" s="36"/>
      <c r="AH388" s="36"/>
      <c r="AI388" s="36"/>
      <c r="AJ388" s="36"/>
      <c r="AK388" s="108"/>
      <c r="AL388" s="36"/>
      <c r="AM388" s="36"/>
      <c r="AN388" s="37"/>
      <c r="AO388" s="37"/>
      <c r="AP388" s="37"/>
      <c r="AQ388" s="37"/>
      <c r="AR388" s="37"/>
      <c r="AS388" s="37"/>
      <c r="AT388" s="37"/>
      <c r="AU388" s="37"/>
      <c r="AV388" s="37"/>
      <c r="AW388" s="37"/>
      <c r="AX388" s="37"/>
      <c r="AY388" s="37"/>
      <c r="AZ388" s="37"/>
      <c r="BA388" s="37"/>
      <c r="BB388" s="37"/>
      <c r="BC388" s="37"/>
      <c r="BD388" s="37"/>
      <c r="BE388" s="37"/>
    </row>
    <row r="389" spans="2:57" s="31" customFormat="1" ht="15.5" x14ac:dyDescent="0.3">
      <c r="B389" s="186" t="s">
        <v>506</v>
      </c>
      <c r="C389" s="160" t="s">
        <v>242</v>
      </c>
      <c r="D389" s="34"/>
      <c r="E389" s="34"/>
      <c r="F389" s="34"/>
      <c r="G389" s="34"/>
      <c r="H389" s="59"/>
      <c r="J389" s="173"/>
      <c r="K389" s="173"/>
      <c r="L389" s="173"/>
      <c r="M389" s="41"/>
      <c r="N389" s="41"/>
      <c r="O389" s="256"/>
      <c r="Q389" s="47"/>
      <c r="R389" s="102"/>
      <c r="S389" s="102"/>
      <c r="T389" s="36"/>
      <c r="U389" s="36"/>
      <c r="V389" s="181"/>
      <c r="W389" s="181"/>
      <c r="X389" s="61"/>
      <c r="Y389" s="36"/>
      <c r="Z389" s="61"/>
      <c r="AA389" s="182"/>
      <c r="AB389" s="61"/>
      <c r="AC389" s="61"/>
      <c r="AD389" s="61"/>
      <c r="AE389" s="61"/>
      <c r="AF389" s="182"/>
      <c r="AG389" s="61"/>
      <c r="AH389" s="36"/>
      <c r="AI389" s="36"/>
      <c r="AJ389" s="36"/>
      <c r="AK389" s="108"/>
      <c r="AL389" s="36"/>
      <c r="AM389" s="36"/>
      <c r="AN389" s="37"/>
      <c r="AO389" s="37"/>
      <c r="AP389" s="37"/>
      <c r="AQ389" s="37"/>
      <c r="AR389" s="37"/>
      <c r="AS389" s="37"/>
      <c r="AT389" s="37"/>
      <c r="AU389" s="37"/>
      <c r="AV389" s="37"/>
      <c r="AW389" s="37"/>
      <c r="AX389" s="37"/>
      <c r="AY389" s="37"/>
      <c r="AZ389" s="37"/>
      <c r="BA389" s="37"/>
      <c r="BB389" s="37"/>
      <c r="BC389" s="37"/>
      <c r="BD389" s="37"/>
      <c r="BE389" s="37"/>
    </row>
    <row r="390" spans="2:57" s="31" customFormat="1" ht="15.5" x14ac:dyDescent="0.3">
      <c r="B390" s="45" t="s">
        <v>549</v>
      </c>
      <c r="C390" s="160"/>
      <c r="D390" s="84" t="s">
        <v>5</v>
      </c>
      <c r="G390" s="34"/>
      <c r="H390" s="54"/>
      <c r="I390" s="53"/>
      <c r="J390" s="53"/>
      <c r="K390" s="34"/>
      <c r="L390" s="34"/>
      <c r="M390" s="84"/>
      <c r="N390" s="84"/>
      <c r="O390" s="257"/>
      <c r="P390" s="53"/>
      <c r="Q390" s="52"/>
      <c r="R390" s="36"/>
      <c r="S390" s="36"/>
      <c r="T390" s="36"/>
      <c r="U390" s="36"/>
      <c r="V390" s="36"/>
      <c r="W390" s="36"/>
      <c r="X390" s="36"/>
      <c r="Y390" s="36"/>
      <c r="Z390" s="36"/>
      <c r="AA390" s="36"/>
      <c r="AB390" s="36"/>
      <c r="AC390" s="36"/>
      <c r="AD390" s="36"/>
      <c r="AE390" s="36"/>
      <c r="AF390" s="36"/>
      <c r="AG390" s="36"/>
      <c r="AH390" s="36"/>
      <c r="AI390" s="36"/>
      <c r="AJ390" s="36"/>
      <c r="AK390" s="108"/>
      <c r="AL390" s="36"/>
      <c r="AM390" s="36"/>
      <c r="AN390" s="37"/>
      <c r="AO390" s="37"/>
      <c r="AP390" s="37"/>
      <c r="AQ390" s="37"/>
      <c r="AR390" s="37"/>
      <c r="AS390" s="37"/>
      <c r="AT390" s="37"/>
      <c r="AU390" s="37"/>
      <c r="AV390" s="37"/>
      <c r="AW390" s="37"/>
      <c r="AX390" s="37"/>
      <c r="AY390" s="37"/>
      <c r="AZ390" s="37"/>
      <c r="BA390" s="37"/>
      <c r="BB390" s="37"/>
      <c r="BC390" s="37"/>
      <c r="BD390" s="37"/>
      <c r="BE390" s="37"/>
    </row>
    <row r="391" spans="2:57" s="31" customFormat="1" ht="15.5" x14ac:dyDescent="0.3">
      <c r="B391" s="155" t="s">
        <v>1</v>
      </c>
      <c r="C391" s="34"/>
      <c r="D391" s="84"/>
      <c r="E391" s="34"/>
      <c r="F391" s="34"/>
      <c r="G391" s="38"/>
      <c r="H391" s="84"/>
      <c r="J391" s="33"/>
      <c r="K391" s="38" t="s">
        <v>329</v>
      </c>
      <c r="L391" s="38" t="s">
        <v>201</v>
      </c>
      <c r="M391" s="84"/>
      <c r="N391" s="84"/>
      <c r="O391" s="257"/>
      <c r="P391" s="34"/>
      <c r="Q391" s="35"/>
      <c r="R391" s="36" t="s">
        <v>350</v>
      </c>
      <c r="S391" s="36"/>
      <c r="T391" s="36" t="s">
        <v>446</v>
      </c>
      <c r="U391" s="36" t="s">
        <v>445</v>
      </c>
      <c r="V391" s="36" t="s">
        <v>443</v>
      </c>
      <c r="W391" s="36" t="s">
        <v>444</v>
      </c>
      <c r="X391" s="36" t="s">
        <v>447</v>
      </c>
      <c r="Y391" s="36" t="s">
        <v>449</v>
      </c>
      <c r="Z391" s="36" t="s">
        <v>448</v>
      </c>
      <c r="AA391" s="36" t="s">
        <v>202</v>
      </c>
      <c r="AB391" s="36" t="s">
        <v>380</v>
      </c>
      <c r="AC391" s="36" t="s">
        <v>450</v>
      </c>
      <c r="AD391" s="36" t="s">
        <v>381</v>
      </c>
      <c r="AE391" s="36" t="s">
        <v>451</v>
      </c>
      <c r="AF391" s="36" t="s">
        <v>452</v>
      </c>
      <c r="AG391" s="36" t="s">
        <v>638</v>
      </c>
      <c r="AH391" s="36" t="s">
        <v>206</v>
      </c>
      <c r="AI391" s="36" t="s">
        <v>278</v>
      </c>
      <c r="AJ391" s="36" t="s">
        <v>207</v>
      </c>
      <c r="AK391" s="108"/>
      <c r="AL391" s="36"/>
      <c r="AM391" s="36"/>
      <c r="AN391" s="37"/>
      <c r="AO391" s="37"/>
      <c r="AP391" s="37"/>
      <c r="AQ391" s="37"/>
      <c r="AR391" s="37"/>
      <c r="AS391" s="37"/>
      <c r="AT391" s="37"/>
      <c r="AU391" s="37"/>
      <c r="AV391" s="37"/>
      <c r="AW391" s="37"/>
      <c r="AX391" s="37"/>
      <c r="AY391" s="37"/>
      <c r="AZ391" s="37"/>
      <c r="BA391" s="37"/>
      <c r="BB391" s="37"/>
      <c r="BC391" s="37"/>
      <c r="BD391" s="37"/>
      <c r="BE391" s="37"/>
    </row>
    <row r="392" spans="2:57" s="31" customFormat="1" ht="46.5" x14ac:dyDescent="0.3">
      <c r="B392" s="170" t="s">
        <v>553</v>
      </c>
      <c r="C392" s="160"/>
      <c r="D392" s="89" t="s">
        <v>52</v>
      </c>
      <c r="E392" s="59"/>
      <c r="F392" s="57"/>
      <c r="G392" s="369"/>
      <c r="H392" s="84" t="str">
        <f>IF(D392="t","","t/m3")</f>
        <v/>
      </c>
      <c r="J392" s="173" t="s">
        <v>441</v>
      </c>
      <c r="K392" s="96">
        <f>IF(ISNUMBER(L392),L392,IF(OR(C393=Pudotusvalikot!$D$14,C393=Pudotusvalikot!$D$15),Kalusto!$G$96,VLOOKUP(C393,Kalusto!$C$44:$G$83,5,FALSE))*IF(OR(C394=Pudotusvalikot!$V$3,C394=Pudotusvalikot!$V$4),Muut!$E$38,IF(C394=Pudotusvalikot!$V$5,Muut!$E$39,IF(C394=Pudotusvalikot!$V$6,Muut!$E$40,Muut!$E$41))))</f>
        <v>5.7709999999999997E-2</v>
      </c>
      <c r="L392" s="40"/>
      <c r="M392" s="41" t="s">
        <v>200</v>
      </c>
      <c r="N392" s="41"/>
      <c r="O392" s="256"/>
      <c r="Q392" s="47"/>
      <c r="R392" s="50" t="str">
        <f ca="1">IF(AND(NOT(ISNUMBER(AB392)),NOT(ISNUMBER(AG392))),"",IF(ISNUMBER(AB392),AB392,0)+IF(ISNUMBER(AG392),AG392,0))</f>
        <v/>
      </c>
      <c r="S392" s="102" t="s">
        <v>172</v>
      </c>
      <c r="T392" s="48" t="str">
        <f>IF(ISNUMBER(L392),"Kohdetieto",IF(OR(C393=Pudotusvalikot!$D$14,C393=Pudotusvalikot!$D$15),Kalusto!$I$96,VLOOKUP(C393,Kalusto!$C$44:$L$83,7,FALSE)))</f>
        <v>Maansiirtoauto</v>
      </c>
      <c r="U392" s="48">
        <f>IF(ISNUMBER(L392),"Kohdetieto",IF(OR(C393=Pudotusvalikot!$D$14,C393=Pudotusvalikot!$D$15),Kalusto!$J$96,VLOOKUP(C393,Kalusto!$C$44:$L$83,8,FALSE)))</f>
        <v>32</v>
      </c>
      <c r="V392" s="49">
        <f>IF(ISNUMBER(L392),"Kohdetieto",IF(OR(C393=Pudotusvalikot!$D$14,C393=Pudotusvalikot!$D$15),Kalusto!$K$96,VLOOKUP(C393,Kalusto!$C$44:$L$83,9,FALSE)))</f>
        <v>0.8</v>
      </c>
      <c r="W392" s="49" t="str">
        <f>IF(ISNUMBER(L392),"Kohdetieto",IF(OR(C393=Pudotusvalikot!$D$14,C393=Pudotusvalikot!$D$15),Kalusto!$L$96,VLOOKUP(C393,Kalusto!$C$44:$L$83,10,FALSE)))</f>
        <v>maantieajo</v>
      </c>
      <c r="X392" s="50" t="str">
        <f>IF(ISBLANK(C392),"",IF(D392="t",C392,C392*G392))</f>
        <v/>
      </c>
      <c r="Y392" s="48" t="str">
        <f>IF(ISNUMBER(C395),C395,"")</f>
        <v/>
      </c>
      <c r="Z392" s="50" t="str">
        <f>IF(ISNUMBER(X392/(U392*V392)*Y392),X392/(U392*V392)*Y392,"")</f>
        <v/>
      </c>
      <c r="AA392" s="51">
        <f>IF(ISNUMBER(L392),L392,K392)</f>
        <v>5.7709999999999997E-2</v>
      </c>
      <c r="AB392" s="50" t="str">
        <f>IF(ISNUMBER(Y392*X392*K392),Y392*X392*K392,"")</f>
        <v/>
      </c>
      <c r="AC392" s="50" t="str">
        <f>IF(ISNUMBER(Y392),Y392,"")</f>
        <v/>
      </c>
      <c r="AD392" s="50" t="str">
        <f>IF(ISNUMBER(X392),IF(ISNUMBER(X392/(U392*V392)),CEILING(X392/(U392*V392),1),""),"")</f>
        <v/>
      </c>
      <c r="AE392" s="50" t="str">
        <f>IF(ISNUMBER(AD392*AC392),AD392*AC392,"")</f>
        <v/>
      </c>
      <c r="AF392" s="51">
        <f ca="1">IF(ISNUMBER(L393),L393,K393)</f>
        <v>0.71940999999999999</v>
      </c>
      <c r="AG392" s="50" t="str">
        <f ca="1">IF(ISNUMBER(AC392*AD392*K393),AC392*AD392*K393,"")</f>
        <v/>
      </c>
      <c r="AH392" s="48">
        <f>IF(T392="Jakelukuorma-auto",0,IF(T392="Maansiirtoauto",4,IF(T392="Puoliperävaunu",6,8)))</f>
        <v>4</v>
      </c>
      <c r="AI392" s="48">
        <f>IF(AND(T392="Jakelukuorma-auto",U392=6),0,IF(AND(T392="Jakelukuorma-auto",U392=15),2,0))</f>
        <v>0</v>
      </c>
      <c r="AJ392" s="48">
        <f>IF(W392="maantieajo",0,1)</f>
        <v>0</v>
      </c>
      <c r="AK392" s="108"/>
      <c r="AL392" s="36"/>
      <c r="AM392" s="36"/>
      <c r="AN392" s="37"/>
      <c r="AO392" s="37"/>
      <c r="AP392" s="37"/>
      <c r="AQ392" s="37"/>
      <c r="AR392" s="37"/>
      <c r="AS392" s="37"/>
      <c r="AT392" s="37"/>
      <c r="AU392" s="37"/>
      <c r="AV392" s="37"/>
      <c r="AW392" s="37"/>
      <c r="AX392" s="37"/>
      <c r="AY392" s="37"/>
      <c r="AZ392" s="37"/>
      <c r="BA392" s="37"/>
      <c r="BB392" s="37"/>
      <c r="BC392" s="37"/>
      <c r="BD392" s="37"/>
      <c r="BE392" s="37"/>
    </row>
    <row r="393" spans="2:57" s="31" customFormat="1" ht="31" x14ac:dyDescent="0.3">
      <c r="B393" s="170" t="s">
        <v>550</v>
      </c>
      <c r="C393" s="392" t="s">
        <v>330</v>
      </c>
      <c r="D393" s="393"/>
      <c r="E393" s="393"/>
      <c r="F393" s="393"/>
      <c r="G393" s="394"/>
      <c r="H393" s="31" t="s">
        <v>203</v>
      </c>
      <c r="J393" s="33" t="s">
        <v>442</v>
      </c>
      <c r="K393" s="96">
        <f ca="1">IF(ISNUMBER(L393),L393,IF($C$100="Ei","",IF(AND($C$100="Kyllä",OR(C393=Pudotusvalikot!$D$14,C393=Pudotusvalikot!$D$15)),Kalusto!$G$97,OFFSET(Kalusto!$G$85,AH392+AJ392+AI392,0,1,1)))*IF(OR(C394=Pudotusvalikot!$V$3,C394=Pudotusvalikot!$V$4),Muut!$E$38,IF(C394=Pudotusvalikot!$V$5,Muut!$E$39,IF(C394=Pudotusvalikot!$V$6,Muut!$E$40,Muut!$E$41))))</f>
        <v>0.71940999999999999</v>
      </c>
      <c r="L393" s="40"/>
      <c r="M393" s="41" t="s">
        <v>204</v>
      </c>
      <c r="N393" s="41"/>
      <c r="O393" s="256"/>
      <c r="P393" s="34"/>
      <c r="Q393" s="52"/>
      <c r="R393" s="36"/>
      <c r="S393" s="36"/>
      <c r="T393" s="36"/>
      <c r="U393" s="36"/>
      <c r="V393" s="36"/>
      <c r="W393" s="36"/>
      <c r="X393" s="36"/>
      <c r="Y393" s="36"/>
      <c r="Z393" s="36"/>
      <c r="AA393" s="36"/>
      <c r="AB393" s="36"/>
      <c r="AC393" s="36"/>
      <c r="AD393" s="36"/>
      <c r="AE393" s="36"/>
      <c r="AF393" s="36"/>
      <c r="AG393" s="36"/>
      <c r="AH393" s="36"/>
      <c r="AI393" s="36"/>
      <c r="AJ393" s="36"/>
      <c r="AK393" s="108"/>
      <c r="AL393" s="36"/>
      <c r="AM393" s="36"/>
      <c r="AN393" s="37"/>
      <c r="AO393" s="37"/>
      <c r="AP393" s="37"/>
      <c r="AQ393" s="37"/>
      <c r="AR393" s="37"/>
      <c r="AS393" s="37"/>
      <c r="AT393" s="37"/>
      <c r="AU393" s="37"/>
      <c r="AV393" s="37"/>
      <c r="AW393" s="37"/>
      <c r="AX393" s="37"/>
      <c r="AY393" s="37"/>
      <c r="AZ393" s="37"/>
      <c r="BA393" s="37"/>
      <c r="BB393" s="37"/>
      <c r="BC393" s="37"/>
      <c r="BD393" s="37"/>
      <c r="BE393" s="37"/>
    </row>
    <row r="394" spans="2:57" s="31" customFormat="1" ht="15.5" x14ac:dyDescent="0.3">
      <c r="B394" s="186" t="s">
        <v>506</v>
      </c>
      <c r="C394" s="160" t="s">
        <v>242</v>
      </c>
      <c r="D394" s="34"/>
      <c r="E394" s="34"/>
      <c r="F394" s="34"/>
      <c r="G394" s="34"/>
      <c r="H394" s="59"/>
      <c r="J394" s="173"/>
      <c r="K394" s="173"/>
      <c r="L394" s="173"/>
      <c r="M394" s="41"/>
      <c r="N394" s="41"/>
      <c r="O394" s="256"/>
      <c r="Q394" s="47"/>
      <c r="R394" s="102"/>
      <c r="S394" s="102"/>
      <c r="T394" s="36"/>
      <c r="U394" s="36"/>
      <c r="V394" s="181"/>
      <c r="W394" s="181"/>
      <c r="X394" s="61"/>
      <c r="Y394" s="36"/>
      <c r="Z394" s="61"/>
      <c r="AA394" s="182"/>
      <c r="AB394" s="61"/>
      <c r="AC394" s="61"/>
      <c r="AD394" s="61"/>
      <c r="AE394" s="61"/>
      <c r="AF394" s="182"/>
      <c r="AG394" s="61"/>
      <c r="AH394" s="36"/>
      <c r="AI394" s="36"/>
      <c r="AJ394" s="36"/>
      <c r="AK394" s="108"/>
      <c r="AL394" s="36"/>
      <c r="AM394" s="36"/>
      <c r="AN394" s="37"/>
      <c r="AO394" s="37"/>
      <c r="AP394" s="37"/>
      <c r="AQ394" s="37"/>
      <c r="AR394" s="37"/>
      <c r="AS394" s="37"/>
      <c r="AT394" s="37"/>
      <c r="AU394" s="37"/>
      <c r="AV394" s="37"/>
      <c r="AW394" s="37"/>
      <c r="AX394" s="37"/>
      <c r="AY394" s="37"/>
      <c r="AZ394" s="37"/>
      <c r="BA394" s="37"/>
      <c r="BB394" s="37"/>
      <c r="BC394" s="37"/>
      <c r="BD394" s="37"/>
      <c r="BE394" s="37"/>
    </row>
    <row r="395" spans="2:57" s="31" customFormat="1" ht="15.5" x14ac:dyDescent="0.3">
      <c r="B395" s="45" t="s">
        <v>549</v>
      </c>
      <c r="C395" s="160"/>
      <c r="D395" s="84" t="s">
        <v>5</v>
      </c>
      <c r="G395" s="34"/>
      <c r="H395" s="54"/>
      <c r="I395" s="53"/>
      <c r="J395" s="53"/>
      <c r="K395" s="34"/>
      <c r="L395" s="34"/>
      <c r="M395" s="84"/>
      <c r="N395" s="84"/>
      <c r="O395" s="257"/>
      <c r="P395" s="53"/>
      <c r="Q395" s="52"/>
      <c r="R395" s="36"/>
      <c r="S395" s="36"/>
      <c r="T395" s="36"/>
      <c r="U395" s="36"/>
      <c r="V395" s="36"/>
      <c r="W395" s="36"/>
      <c r="X395" s="36"/>
      <c r="Y395" s="36"/>
      <c r="Z395" s="36"/>
      <c r="AA395" s="36"/>
      <c r="AB395" s="36"/>
      <c r="AC395" s="36"/>
      <c r="AD395" s="36"/>
      <c r="AE395" s="36"/>
      <c r="AF395" s="36"/>
      <c r="AG395" s="36"/>
      <c r="AH395" s="36"/>
      <c r="AI395" s="36"/>
      <c r="AJ395" s="36"/>
      <c r="AK395" s="108"/>
      <c r="AL395" s="36"/>
      <c r="AM395" s="36"/>
      <c r="AN395" s="37"/>
      <c r="AO395" s="37"/>
      <c r="AP395" s="37"/>
      <c r="AQ395" s="37"/>
      <c r="AR395" s="37"/>
      <c r="AS395" s="37"/>
      <c r="AT395" s="37"/>
      <c r="AU395" s="37"/>
      <c r="AV395" s="37"/>
      <c r="AW395" s="37"/>
      <c r="AX395" s="37"/>
      <c r="AY395" s="37"/>
      <c r="AZ395" s="37"/>
      <c r="BA395" s="37"/>
      <c r="BB395" s="37"/>
      <c r="BC395" s="37"/>
      <c r="BD395" s="37"/>
      <c r="BE395" s="37"/>
    </row>
    <row r="396" spans="2:57" s="31" customFormat="1" ht="15.5" x14ac:dyDescent="0.3">
      <c r="B396" s="155" t="s">
        <v>2</v>
      </c>
      <c r="C396" s="34"/>
      <c r="D396" s="84"/>
      <c r="E396" s="34"/>
      <c r="F396" s="34"/>
      <c r="G396" s="38"/>
      <c r="H396" s="84"/>
      <c r="J396" s="33"/>
      <c r="K396" s="38" t="s">
        <v>329</v>
      </c>
      <c r="L396" s="38" t="s">
        <v>201</v>
      </c>
      <c r="M396" s="84"/>
      <c r="N396" s="84"/>
      <c r="O396" s="257"/>
      <c r="P396" s="34"/>
      <c r="Q396" s="35"/>
      <c r="R396" s="36" t="s">
        <v>350</v>
      </c>
      <c r="S396" s="36"/>
      <c r="T396" s="36" t="s">
        <v>446</v>
      </c>
      <c r="U396" s="36" t="s">
        <v>445</v>
      </c>
      <c r="V396" s="36" t="s">
        <v>443</v>
      </c>
      <c r="W396" s="36" t="s">
        <v>444</v>
      </c>
      <c r="X396" s="36" t="s">
        <v>447</v>
      </c>
      <c r="Y396" s="36" t="s">
        <v>449</v>
      </c>
      <c r="Z396" s="36" t="s">
        <v>448</v>
      </c>
      <c r="AA396" s="36" t="s">
        <v>202</v>
      </c>
      <c r="AB396" s="36" t="s">
        <v>380</v>
      </c>
      <c r="AC396" s="36" t="s">
        <v>450</v>
      </c>
      <c r="AD396" s="36" t="s">
        <v>381</v>
      </c>
      <c r="AE396" s="36" t="s">
        <v>451</v>
      </c>
      <c r="AF396" s="36" t="s">
        <v>452</v>
      </c>
      <c r="AG396" s="36" t="s">
        <v>638</v>
      </c>
      <c r="AH396" s="36" t="s">
        <v>206</v>
      </c>
      <c r="AI396" s="36" t="s">
        <v>278</v>
      </c>
      <c r="AJ396" s="36" t="s">
        <v>207</v>
      </c>
      <c r="AK396" s="108"/>
      <c r="AL396" s="36"/>
      <c r="AM396" s="36"/>
      <c r="AN396" s="37"/>
      <c r="AO396" s="37"/>
      <c r="AP396" s="37"/>
      <c r="AQ396" s="37"/>
      <c r="AR396" s="37"/>
      <c r="AS396" s="37"/>
      <c r="AT396" s="37"/>
      <c r="AU396" s="37"/>
      <c r="AV396" s="37"/>
      <c r="AW396" s="37"/>
      <c r="AX396" s="37"/>
      <c r="AY396" s="37"/>
      <c r="AZ396" s="37"/>
      <c r="BA396" s="37"/>
      <c r="BB396" s="37"/>
      <c r="BC396" s="37"/>
      <c r="BD396" s="37"/>
      <c r="BE396" s="37"/>
    </row>
    <row r="397" spans="2:57" s="31" customFormat="1" ht="46.5" x14ac:dyDescent="0.3">
      <c r="B397" s="170" t="s">
        <v>553</v>
      </c>
      <c r="C397" s="160"/>
      <c r="D397" s="89" t="s">
        <v>52</v>
      </c>
      <c r="E397" s="59"/>
      <c r="F397" s="57"/>
      <c r="G397" s="369"/>
      <c r="H397" s="84" t="str">
        <f>IF(D397="t","","t/m3")</f>
        <v/>
      </c>
      <c r="J397" s="173" t="s">
        <v>441</v>
      </c>
      <c r="K397" s="96">
        <f>IF(ISNUMBER(L397),L397,IF(OR(C398=Pudotusvalikot!$D$14,C398=Pudotusvalikot!$D$15),Kalusto!$G$96,VLOOKUP(C398,Kalusto!$C$44:$G$83,5,FALSE))*IF(OR(C399=Pudotusvalikot!$V$3,C399=Pudotusvalikot!$V$4),Muut!$E$38,IF(C399=Pudotusvalikot!$V$5,Muut!$E$39,IF(C399=Pudotusvalikot!$V$6,Muut!$E$40,Muut!$E$41))))</f>
        <v>5.7709999999999997E-2</v>
      </c>
      <c r="L397" s="40"/>
      <c r="M397" s="41" t="s">
        <v>200</v>
      </c>
      <c r="N397" s="41"/>
      <c r="O397" s="256"/>
      <c r="Q397" s="47"/>
      <c r="R397" s="50" t="str">
        <f ca="1">IF(AND(NOT(ISNUMBER(AB397)),NOT(ISNUMBER(AG397))),"",IF(ISNUMBER(AB397),AB397,0)+IF(ISNUMBER(AG397),AG397,0))</f>
        <v/>
      </c>
      <c r="S397" s="102" t="s">
        <v>172</v>
      </c>
      <c r="T397" s="48" t="str">
        <f>IF(ISNUMBER(L397),"Kohdetieto",IF(OR(C398=Pudotusvalikot!$D$14,C398=Pudotusvalikot!$D$15),Kalusto!$I$96,VLOOKUP(C398,Kalusto!$C$44:$L$83,7,FALSE)))</f>
        <v>Maansiirtoauto</v>
      </c>
      <c r="U397" s="48">
        <f>IF(ISNUMBER(L397),"Kohdetieto",IF(OR(C398=Pudotusvalikot!$D$14,C398=Pudotusvalikot!$D$15),Kalusto!$J$96,VLOOKUP(C398,Kalusto!$C$44:$L$83,8,FALSE)))</f>
        <v>32</v>
      </c>
      <c r="V397" s="49">
        <f>IF(ISNUMBER(L397),"Kohdetieto",IF(OR(C398=Pudotusvalikot!$D$14,C398=Pudotusvalikot!$D$15),Kalusto!$K$96,VLOOKUP(C398,Kalusto!$C$44:$L$83,9,FALSE)))</f>
        <v>0.8</v>
      </c>
      <c r="W397" s="49" t="str">
        <f>IF(ISNUMBER(L397),"Kohdetieto",IF(OR(C398=Pudotusvalikot!$D$14,C398=Pudotusvalikot!$D$15),Kalusto!$L$96,VLOOKUP(C398,Kalusto!$C$44:$L$83,10,FALSE)))</f>
        <v>maantieajo</v>
      </c>
      <c r="X397" s="50" t="str">
        <f>IF(ISBLANK(C397),"",IF(D397="t",C397,C397*G397))</f>
        <v/>
      </c>
      <c r="Y397" s="48" t="str">
        <f>IF(ISNUMBER(C400),C400,"")</f>
        <v/>
      </c>
      <c r="Z397" s="50" t="str">
        <f>IF(ISNUMBER(X397/(U397*V397)*Y397),X397/(U397*V397)*Y397,"")</f>
        <v/>
      </c>
      <c r="AA397" s="51">
        <f>IF(ISNUMBER(L397),L397,K397)</f>
        <v>5.7709999999999997E-2</v>
      </c>
      <c r="AB397" s="50" t="str">
        <f>IF(ISNUMBER(Y397*X397*K397),Y397*X397*K397,"")</f>
        <v/>
      </c>
      <c r="AC397" s="50" t="str">
        <f>IF(ISNUMBER(Y397),Y397,"")</f>
        <v/>
      </c>
      <c r="AD397" s="50" t="str">
        <f>IF(ISNUMBER(X397),IF(ISNUMBER(X397/(U397*V397)),CEILING(X397/(U397*V397),1),""),"")</f>
        <v/>
      </c>
      <c r="AE397" s="50" t="str">
        <f>IF(ISNUMBER(AD397*AC397),AD397*AC397,"")</f>
        <v/>
      </c>
      <c r="AF397" s="51">
        <f ca="1">IF(ISNUMBER(L398),L398,K398)</f>
        <v>0.71940999999999999</v>
      </c>
      <c r="AG397" s="50" t="str">
        <f ca="1">IF(ISNUMBER(AC397*AD397*K398),AC397*AD397*K398,"")</f>
        <v/>
      </c>
      <c r="AH397" s="48">
        <f>IF(T397="Jakelukuorma-auto",0,IF(T397="Maansiirtoauto",4,IF(T397="Puoliperävaunu",6,8)))</f>
        <v>4</v>
      </c>
      <c r="AI397" s="48">
        <f>IF(AND(T397="Jakelukuorma-auto",U397=6),0,IF(AND(T397="Jakelukuorma-auto",U397=15),2,0))</f>
        <v>0</v>
      </c>
      <c r="AJ397" s="48">
        <f>IF(W397="maantieajo",0,1)</f>
        <v>0</v>
      </c>
      <c r="AK397" s="108"/>
      <c r="AL397" s="36"/>
      <c r="AM397" s="36"/>
      <c r="AN397" s="37"/>
      <c r="AO397" s="37"/>
      <c r="AP397" s="37"/>
      <c r="AQ397" s="37"/>
      <c r="AR397" s="37"/>
      <c r="AS397" s="37"/>
      <c r="AT397" s="37"/>
      <c r="AU397" s="37"/>
      <c r="AV397" s="37"/>
      <c r="AW397" s="37"/>
      <c r="AX397" s="37"/>
      <c r="AY397" s="37"/>
      <c r="AZ397" s="37"/>
      <c r="BA397" s="37"/>
      <c r="BB397" s="37"/>
      <c r="BC397" s="37"/>
      <c r="BD397" s="37"/>
      <c r="BE397" s="37"/>
    </row>
    <row r="398" spans="2:57" s="31" customFormat="1" ht="31" x14ac:dyDescent="0.3">
      <c r="B398" s="170" t="s">
        <v>550</v>
      </c>
      <c r="C398" s="392" t="s">
        <v>330</v>
      </c>
      <c r="D398" s="393"/>
      <c r="E398" s="393"/>
      <c r="F398" s="393"/>
      <c r="G398" s="394"/>
      <c r="J398" s="33" t="s">
        <v>442</v>
      </c>
      <c r="K398" s="96">
        <f ca="1">IF(ISNUMBER(L398),L398,IF($C$100="Ei","",IF(AND($C$100="Kyllä",OR(C398=Pudotusvalikot!$D$14,C398=Pudotusvalikot!$D$15)),Kalusto!$G$97,OFFSET(Kalusto!$G$85,AH397+AJ397+AI397,0,1,1)))*IF(OR(C399=Pudotusvalikot!$V$3,C399=Pudotusvalikot!$V$4),Muut!$E$38,IF(C399=Pudotusvalikot!$V$5,Muut!$E$39,IF(C399=Pudotusvalikot!$V$6,Muut!$E$40,Muut!$E$41))))</f>
        <v>0.71940999999999999</v>
      </c>
      <c r="L398" s="40"/>
      <c r="M398" s="41" t="s">
        <v>204</v>
      </c>
      <c r="N398" s="41"/>
      <c r="O398" s="256"/>
      <c r="P398" s="34"/>
      <c r="Q398" s="52"/>
      <c r="R398" s="36"/>
      <c r="S398" s="36"/>
      <c r="T398" s="36"/>
      <c r="U398" s="36"/>
      <c r="V398" s="36"/>
      <c r="W398" s="36"/>
      <c r="X398" s="36"/>
      <c r="Y398" s="36"/>
      <c r="Z398" s="36"/>
      <c r="AA398" s="36"/>
      <c r="AB398" s="36"/>
      <c r="AC398" s="36"/>
      <c r="AD398" s="36"/>
      <c r="AE398" s="36"/>
      <c r="AF398" s="36"/>
      <c r="AG398" s="36"/>
      <c r="AH398" s="36"/>
      <c r="AI398" s="36"/>
      <c r="AJ398" s="36"/>
      <c r="AK398" s="108"/>
      <c r="AL398" s="36"/>
      <c r="AM398" s="36"/>
      <c r="AN398" s="37"/>
      <c r="AO398" s="37"/>
      <c r="AP398" s="37"/>
      <c r="AQ398" s="37"/>
      <c r="AR398" s="37"/>
      <c r="AS398" s="37"/>
      <c r="AT398" s="37"/>
      <c r="AU398" s="37"/>
      <c r="AV398" s="37"/>
      <c r="AW398" s="37"/>
      <c r="AX398" s="37"/>
      <c r="AY398" s="37"/>
      <c r="AZ398" s="37"/>
      <c r="BA398" s="37"/>
      <c r="BB398" s="37"/>
      <c r="BC398" s="37"/>
      <c r="BD398" s="37"/>
      <c r="BE398" s="37"/>
    </row>
    <row r="399" spans="2:57" s="31" customFormat="1" ht="15.5" x14ac:dyDescent="0.3">
      <c r="B399" s="186" t="s">
        <v>506</v>
      </c>
      <c r="C399" s="160" t="s">
        <v>242</v>
      </c>
      <c r="D399" s="34"/>
      <c r="E399" s="34"/>
      <c r="F399" s="34"/>
      <c r="G399" s="34"/>
      <c r="H399" s="59"/>
      <c r="J399" s="173"/>
      <c r="K399" s="173"/>
      <c r="L399" s="173"/>
      <c r="M399" s="41"/>
      <c r="N399" s="41"/>
      <c r="O399" s="256"/>
      <c r="Q399" s="47"/>
      <c r="R399" s="102"/>
      <c r="S399" s="102"/>
      <c r="T399" s="36"/>
      <c r="U399" s="36"/>
      <c r="V399" s="181"/>
      <c r="W399" s="181"/>
      <c r="X399" s="61"/>
      <c r="Y399" s="36"/>
      <c r="Z399" s="61"/>
      <c r="AA399" s="182"/>
      <c r="AB399" s="61"/>
      <c r="AC399" s="61"/>
      <c r="AD399" s="61"/>
      <c r="AE399" s="61"/>
      <c r="AF399" s="182"/>
      <c r="AG399" s="61"/>
      <c r="AH399" s="36"/>
      <c r="AI399" s="36"/>
      <c r="AJ399" s="36"/>
      <c r="AK399" s="108"/>
      <c r="AL399" s="36"/>
      <c r="AM399" s="36"/>
      <c r="AN399" s="37"/>
      <c r="AO399" s="37"/>
      <c r="AP399" s="37"/>
      <c r="AQ399" s="37"/>
      <c r="AR399" s="37"/>
      <c r="AS399" s="37"/>
      <c r="AT399" s="37"/>
      <c r="AU399" s="37"/>
      <c r="AV399" s="37"/>
      <c r="AW399" s="37"/>
      <c r="AX399" s="37"/>
      <c r="AY399" s="37"/>
      <c r="AZ399" s="37"/>
      <c r="BA399" s="37"/>
      <c r="BB399" s="37"/>
      <c r="BC399" s="37"/>
      <c r="BD399" s="37"/>
      <c r="BE399" s="37"/>
    </row>
    <row r="400" spans="2:57" s="31" customFormat="1" ht="15.5" x14ac:dyDescent="0.3">
      <c r="B400" s="45" t="s">
        <v>549</v>
      </c>
      <c r="C400" s="160"/>
      <c r="D400" s="84" t="s">
        <v>5</v>
      </c>
      <c r="G400" s="34"/>
      <c r="H400" s="84"/>
      <c r="I400" s="53"/>
      <c r="J400" s="53"/>
      <c r="K400" s="34"/>
      <c r="L400" s="34"/>
      <c r="M400" s="84"/>
      <c r="N400" s="84"/>
      <c r="O400" s="257"/>
      <c r="P400" s="53"/>
      <c r="Q400" s="52"/>
      <c r="R400" s="36"/>
      <c r="S400" s="36"/>
      <c r="T400" s="36"/>
      <c r="U400" s="36"/>
      <c r="V400" s="36"/>
      <c r="W400" s="36"/>
      <c r="X400" s="36"/>
      <c r="Y400" s="36"/>
      <c r="Z400" s="36"/>
      <c r="AA400" s="36"/>
      <c r="AB400" s="36"/>
      <c r="AC400" s="36"/>
      <c r="AD400" s="36"/>
      <c r="AE400" s="36"/>
      <c r="AF400" s="36"/>
      <c r="AG400" s="36"/>
      <c r="AH400" s="36"/>
      <c r="AI400" s="36"/>
      <c r="AJ400" s="36"/>
      <c r="AK400" s="108"/>
      <c r="AL400" s="36"/>
      <c r="AM400" s="36"/>
      <c r="AN400" s="37"/>
      <c r="AO400" s="37"/>
      <c r="AP400" s="37"/>
      <c r="AQ400" s="37"/>
      <c r="AR400" s="37"/>
      <c r="AS400" s="37"/>
      <c r="AT400" s="37"/>
      <c r="AU400" s="37"/>
      <c r="AV400" s="37"/>
      <c r="AW400" s="37"/>
      <c r="AX400" s="37"/>
      <c r="AY400" s="37"/>
      <c r="AZ400" s="37"/>
      <c r="BA400" s="37"/>
      <c r="BB400" s="37"/>
      <c r="BC400" s="37"/>
      <c r="BD400" s="37"/>
      <c r="BE400" s="37"/>
    </row>
    <row r="401" spans="2:57" s="31" customFormat="1" ht="15.5" x14ac:dyDescent="0.3">
      <c r="B401" s="155" t="s">
        <v>3</v>
      </c>
      <c r="C401" s="34"/>
      <c r="D401" s="84"/>
      <c r="E401" s="34"/>
      <c r="F401" s="34"/>
      <c r="G401" s="38"/>
      <c r="H401" s="84"/>
      <c r="J401" s="33"/>
      <c r="K401" s="38" t="s">
        <v>329</v>
      </c>
      <c r="L401" s="38" t="s">
        <v>201</v>
      </c>
      <c r="M401" s="84"/>
      <c r="N401" s="84"/>
      <c r="O401" s="257"/>
      <c r="P401" s="34"/>
      <c r="Q401" s="35"/>
      <c r="R401" s="36" t="s">
        <v>350</v>
      </c>
      <c r="S401" s="36"/>
      <c r="T401" s="36" t="s">
        <v>446</v>
      </c>
      <c r="U401" s="36" t="s">
        <v>445</v>
      </c>
      <c r="V401" s="36" t="s">
        <v>443</v>
      </c>
      <c r="W401" s="36" t="s">
        <v>444</v>
      </c>
      <c r="X401" s="36" t="s">
        <v>447</v>
      </c>
      <c r="Y401" s="36" t="s">
        <v>449</v>
      </c>
      <c r="Z401" s="36" t="s">
        <v>448</v>
      </c>
      <c r="AA401" s="36" t="s">
        <v>202</v>
      </c>
      <c r="AB401" s="36" t="s">
        <v>380</v>
      </c>
      <c r="AC401" s="36" t="s">
        <v>450</v>
      </c>
      <c r="AD401" s="36" t="s">
        <v>381</v>
      </c>
      <c r="AE401" s="36" t="s">
        <v>451</v>
      </c>
      <c r="AF401" s="36" t="s">
        <v>452</v>
      </c>
      <c r="AG401" s="36" t="s">
        <v>638</v>
      </c>
      <c r="AH401" s="36" t="s">
        <v>206</v>
      </c>
      <c r="AI401" s="36" t="s">
        <v>278</v>
      </c>
      <c r="AJ401" s="36" t="s">
        <v>207</v>
      </c>
      <c r="AK401" s="108"/>
      <c r="AL401" s="36"/>
      <c r="AM401" s="36"/>
      <c r="AN401" s="37"/>
      <c r="AO401" s="37"/>
      <c r="AP401" s="37"/>
      <c r="AQ401" s="37"/>
      <c r="AR401" s="37"/>
      <c r="AS401" s="37"/>
      <c r="AT401" s="37"/>
      <c r="AU401" s="37"/>
      <c r="AV401" s="37"/>
      <c r="AW401" s="37"/>
      <c r="AX401" s="37"/>
      <c r="AY401" s="37"/>
      <c r="AZ401" s="37"/>
      <c r="BA401" s="37"/>
      <c r="BB401" s="37"/>
      <c r="BC401" s="37"/>
      <c r="BD401" s="37"/>
      <c r="BE401" s="37"/>
    </row>
    <row r="402" spans="2:57" s="31" customFormat="1" ht="46.5" x14ac:dyDescent="0.3">
      <c r="B402" s="170" t="s">
        <v>553</v>
      </c>
      <c r="C402" s="160"/>
      <c r="D402" s="89" t="s">
        <v>52</v>
      </c>
      <c r="E402" s="59"/>
      <c r="F402" s="57"/>
      <c r="G402" s="369"/>
      <c r="H402" s="84" t="str">
        <f>IF(D402="t","","t/m3")</f>
        <v/>
      </c>
      <c r="J402" s="173" t="s">
        <v>441</v>
      </c>
      <c r="K402" s="96">
        <f>IF(ISNUMBER(L402),L402,IF(OR(C403=Pudotusvalikot!$D$14,C403=Pudotusvalikot!$D$15),Kalusto!$G$96,VLOOKUP(C403,Kalusto!$C$44:$G$83,5,FALSE))*IF(OR(C404=Pudotusvalikot!$V$3,C404=Pudotusvalikot!$V$4),Muut!$E$38,IF(C404=Pudotusvalikot!$V$5,Muut!$E$39,IF(C404=Pudotusvalikot!$V$6,Muut!$E$40,Muut!$E$41))))</f>
        <v>5.7709999999999997E-2</v>
      </c>
      <c r="L402" s="40"/>
      <c r="M402" s="41" t="s">
        <v>200</v>
      </c>
      <c r="N402" s="41"/>
      <c r="O402" s="256"/>
      <c r="Q402" s="47"/>
      <c r="R402" s="50" t="str">
        <f ca="1">IF(AND(NOT(ISNUMBER(AB402)),NOT(ISNUMBER(AG402))),"",IF(ISNUMBER(AB402),AB402,0)+IF(ISNUMBER(AG402),AG402,0))</f>
        <v/>
      </c>
      <c r="S402" s="102" t="s">
        <v>172</v>
      </c>
      <c r="T402" s="48" t="str">
        <f>IF(ISNUMBER(L402),"Kohdetieto",IF(OR(C403=Pudotusvalikot!$D$14,C403=Pudotusvalikot!$D$15),Kalusto!$I$96,VLOOKUP(C403,Kalusto!$C$44:$L$83,7,FALSE)))</f>
        <v>Maansiirtoauto</v>
      </c>
      <c r="U402" s="48">
        <f>IF(ISNUMBER(L402),"Kohdetieto",IF(OR(C403=Pudotusvalikot!$D$14,C403=Pudotusvalikot!$D$15),Kalusto!$J$96,VLOOKUP(C403,Kalusto!$C$44:$L$83,8,FALSE)))</f>
        <v>32</v>
      </c>
      <c r="V402" s="49">
        <f>IF(ISNUMBER(L402),"Kohdetieto",IF(OR(C403=Pudotusvalikot!$D$14,C403=Pudotusvalikot!$D$15),Kalusto!$K$96,VLOOKUP(C403,Kalusto!$C$44:$L$83,9,FALSE)))</f>
        <v>0.8</v>
      </c>
      <c r="W402" s="49" t="str">
        <f>IF(ISNUMBER(L402),"Kohdetieto",IF(OR(C403=Pudotusvalikot!$D$14,C403=Pudotusvalikot!$D$15),Kalusto!$L$96,VLOOKUP(C403,Kalusto!$C$44:$L$83,10,FALSE)))</f>
        <v>maantieajo</v>
      </c>
      <c r="X402" s="50" t="str">
        <f>IF(ISBLANK(C402),"",IF(D402="t",C402,C402*G402))</f>
        <v/>
      </c>
      <c r="Y402" s="48" t="str">
        <f>IF(ISNUMBER(C405),C405,"")</f>
        <v/>
      </c>
      <c r="Z402" s="50" t="str">
        <f>IF(ISNUMBER(X402/(U402*V402)*Y402),X402/(U402*V402)*Y402,"")</f>
        <v/>
      </c>
      <c r="AA402" s="51">
        <f>IF(ISNUMBER(L402),L402,K402)</f>
        <v>5.7709999999999997E-2</v>
      </c>
      <c r="AB402" s="50" t="str">
        <f>IF(ISNUMBER(Y402*X402*K402),Y402*X402*K402,"")</f>
        <v/>
      </c>
      <c r="AC402" s="50" t="str">
        <f>IF(ISNUMBER(Y402),Y402,"")</f>
        <v/>
      </c>
      <c r="AD402" s="50" t="str">
        <f>IF(ISNUMBER(X402),IF(ISNUMBER(X402/(U402*V402)),CEILING(X402/(U402*V402),1),""),"")</f>
        <v/>
      </c>
      <c r="AE402" s="50" t="str">
        <f>IF(ISNUMBER(AD402*AC402),AD402*AC402,"")</f>
        <v/>
      </c>
      <c r="AF402" s="51">
        <f ca="1">IF(ISNUMBER(L403),L403,K403)</f>
        <v>0.71940999999999999</v>
      </c>
      <c r="AG402" s="50" t="str">
        <f ca="1">IF(ISNUMBER(AC402*AD402*K403),AC402*AD402*K403,"")</f>
        <v/>
      </c>
      <c r="AH402" s="48">
        <f>IF(T402="Jakelukuorma-auto",0,IF(T402="Maansiirtoauto",4,IF(T402="Puoliperävaunu",6,8)))</f>
        <v>4</v>
      </c>
      <c r="AI402" s="48">
        <f>IF(AND(T402="Jakelukuorma-auto",U402=6),0,IF(AND(T402="Jakelukuorma-auto",U402=15),2,0))</f>
        <v>0</v>
      </c>
      <c r="AJ402" s="48">
        <f>IF(W402="maantieajo",0,1)</f>
        <v>0</v>
      </c>
      <c r="AK402" s="108"/>
      <c r="AL402" s="36"/>
      <c r="AM402" s="36"/>
      <c r="AN402" s="37"/>
      <c r="AO402" s="37"/>
      <c r="AP402" s="37"/>
      <c r="AQ402" s="37"/>
      <c r="AR402" s="37"/>
      <c r="AS402" s="37"/>
      <c r="AT402" s="37"/>
      <c r="AU402" s="37"/>
      <c r="AV402" s="37"/>
      <c r="AW402" s="37"/>
      <c r="AX402" s="37"/>
      <c r="AY402" s="37"/>
      <c r="AZ402" s="37"/>
      <c r="BA402" s="37"/>
      <c r="BB402" s="37"/>
      <c r="BC402" s="37"/>
      <c r="BD402" s="37"/>
      <c r="BE402" s="37"/>
    </row>
    <row r="403" spans="2:57" s="31" customFormat="1" ht="31" x14ac:dyDescent="0.3">
      <c r="B403" s="170" t="s">
        <v>550</v>
      </c>
      <c r="C403" s="392" t="s">
        <v>330</v>
      </c>
      <c r="D403" s="393"/>
      <c r="E403" s="393"/>
      <c r="F403" s="393"/>
      <c r="G403" s="394"/>
      <c r="J403" s="33" t="s">
        <v>442</v>
      </c>
      <c r="K403" s="96">
        <f ca="1">IF(ISNUMBER(L403),L403,IF($C$100="Ei","",IF(AND($C$100="Kyllä",OR(C403=Pudotusvalikot!$D$14,C403=Pudotusvalikot!$D$15)),Kalusto!$G$97,OFFSET(Kalusto!$G$85,AH402+AJ402+AI402,0,1,1)))*IF(OR(C404=Pudotusvalikot!$V$3,C404=Pudotusvalikot!$V$4),Muut!$E$38,IF(C404=Pudotusvalikot!$V$5,Muut!$E$39,IF(C404=Pudotusvalikot!$V$6,Muut!$E$40,Muut!$E$41))))</f>
        <v>0.71940999999999999</v>
      </c>
      <c r="L403" s="40"/>
      <c r="M403" s="41" t="s">
        <v>204</v>
      </c>
      <c r="N403" s="41"/>
      <c r="O403" s="256"/>
      <c r="P403" s="34"/>
      <c r="Q403" s="52"/>
      <c r="R403" s="36"/>
      <c r="S403" s="36"/>
      <c r="T403" s="36"/>
      <c r="U403" s="36"/>
      <c r="V403" s="36"/>
      <c r="W403" s="36"/>
      <c r="X403" s="36"/>
      <c r="Y403" s="36"/>
      <c r="Z403" s="36"/>
      <c r="AA403" s="36"/>
      <c r="AB403" s="36"/>
      <c r="AC403" s="36"/>
      <c r="AD403" s="36"/>
      <c r="AE403" s="36"/>
      <c r="AF403" s="36"/>
      <c r="AG403" s="36"/>
      <c r="AH403" s="36"/>
      <c r="AI403" s="36"/>
      <c r="AJ403" s="36"/>
      <c r="AK403" s="108"/>
      <c r="AL403" s="36"/>
      <c r="AM403" s="36"/>
      <c r="AN403" s="37"/>
      <c r="AO403" s="37"/>
      <c r="AP403" s="37"/>
      <c r="AQ403" s="37"/>
      <c r="AR403" s="37"/>
      <c r="AS403" s="37"/>
      <c r="AT403" s="37"/>
      <c r="AU403" s="37"/>
      <c r="AV403" s="37"/>
      <c r="AW403" s="37"/>
      <c r="AX403" s="37"/>
      <c r="AY403" s="37"/>
      <c r="AZ403" s="37"/>
      <c r="BA403" s="37"/>
      <c r="BB403" s="37"/>
      <c r="BC403" s="37"/>
      <c r="BD403" s="37"/>
      <c r="BE403" s="37"/>
    </row>
    <row r="404" spans="2:57" s="31" customFormat="1" ht="15.5" x14ac:dyDescent="0.3">
      <c r="B404" s="186" t="s">
        <v>506</v>
      </c>
      <c r="C404" s="160" t="s">
        <v>242</v>
      </c>
      <c r="D404" s="34"/>
      <c r="E404" s="34"/>
      <c r="F404" s="34"/>
      <c r="G404" s="34"/>
      <c r="H404" s="59"/>
      <c r="J404" s="173"/>
      <c r="K404" s="173"/>
      <c r="L404" s="173"/>
      <c r="M404" s="41"/>
      <c r="N404" s="41"/>
      <c r="O404" s="256"/>
      <c r="Q404" s="47"/>
      <c r="R404" s="102"/>
      <c r="S404" s="102"/>
      <c r="T404" s="36"/>
      <c r="U404" s="36"/>
      <c r="V404" s="181"/>
      <c r="W404" s="181"/>
      <c r="X404" s="61"/>
      <c r="Y404" s="36"/>
      <c r="Z404" s="61"/>
      <c r="AA404" s="182"/>
      <c r="AB404" s="61"/>
      <c r="AC404" s="61"/>
      <c r="AD404" s="61"/>
      <c r="AE404" s="61"/>
      <c r="AF404" s="182"/>
      <c r="AG404" s="61"/>
      <c r="AH404" s="36"/>
      <c r="AI404" s="36"/>
      <c r="AJ404" s="36"/>
      <c r="AK404" s="108"/>
      <c r="AL404" s="36"/>
      <c r="AM404" s="36"/>
      <c r="AN404" s="37"/>
      <c r="AO404" s="37"/>
      <c r="AP404" s="37"/>
      <c r="AQ404" s="37"/>
      <c r="AR404" s="37"/>
      <c r="AS404" s="37"/>
      <c r="AT404" s="37"/>
      <c r="AU404" s="37"/>
      <c r="AV404" s="37"/>
      <c r="AW404" s="37"/>
      <c r="AX404" s="37"/>
      <c r="AY404" s="37"/>
      <c r="AZ404" s="37"/>
      <c r="BA404" s="37"/>
      <c r="BB404" s="37"/>
      <c r="BC404" s="37"/>
      <c r="BD404" s="37"/>
      <c r="BE404" s="37"/>
    </row>
    <row r="405" spans="2:57" s="31" customFormat="1" ht="15.5" x14ac:dyDescent="0.3">
      <c r="B405" s="45" t="s">
        <v>549</v>
      </c>
      <c r="C405" s="160"/>
      <c r="D405" s="84" t="s">
        <v>176</v>
      </c>
      <c r="G405" s="34"/>
      <c r="H405" s="84"/>
      <c r="I405" s="53"/>
      <c r="J405" s="53"/>
      <c r="K405" s="34"/>
      <c r="L405" s="34"/>
      <c r="M405" s="84"/>
      <c r="N405" s="84"/>
      <c r="O405" s="257"/>
      <c r="P405" s="53"/>
      <c r="Q405" s="52"/>
      <c r="R405" s="36"/>
      <c r="S405" s="36"/>
      <c r="T405" s="36"/>
      <c r="U405" s="36"/>
      <c r="V405" s="36"/>
      <c r="W405" s="36"/>
      <c r="X405" s="36"/>
      <c r="Y405" s="36"/>
      <c r="Z405" s="36"/>
      <c r="AA405" s="36"/>
      <c r="AB405" s="36"/>
      <c r="AC405" s="36"/>
      <c r="AD405" s="36"/>
      <c r="AE405" s="36"/>
      <c r="AF405" s="36"/>
      <c r="AG405" s="36"/>
      <c r="AH405" s="36"/>
      <c r="AI405" s="36"/>
      <c r="AJ405" s="36"/>
      <c r="AK405" s="108"/>
      <c r="AL405" s="36"/>
      <c r="AM405" s="36"/>
      <c r="AN405" s="37"/>
      <c r="AO405" s="37"/>
      <c r="AP405" s="37"/>
      <c r="AQ405" s="37"/>
      <c r="AR405" s="37"/>
      <c r="AS405" s="37"/>
      <c r="AT405" s="37"/>
      <c r="AU405" s="37"/>
      <c r="AV405" s="37"/>
      <c r="AW405" s="37"/>
      <c r="AX405" s="37"/>
      <c r="AY405" s="37"/>
      <c r="AZ405" s="37"/>
      <c r="BA405" s="37"/>
      <c r="BB405" s="37"/>
      <c r="BC405" s="37"/>
      <c r="BD405" s="37"/>
      <c r="BE405" s="37"/>
    </row>
    <row r="406" spans="2:57" s="31" customFormat="1" ht="15.5" x14ac:dyDescent="0.3">
      <c r="B406" s="155" t="s">
        <v>4</v>
      </c>
      <c r="C406" s="34"/>
      <c r="D406" s="84"/>
      <c r="G406" s="34"/>
      <c r="H406" s="84"/>
      <c r="J406" s="33"/>
      <c r="K406" s="38" t="s">
        <v>329</v>
      </c>
      <c r="L406" s="38" t="s">
        <v>201</v>
      </c>
      <c r="M406" s="84"/>
      <c r="N406" s="84"/>
      <c r="O406" s="257"/>
      <c r="P406" s="34"/>
      <c r="Q406" s="35"/>
      <c r="R406" s="36" t="s">
        <v>350</v>
      </c>
      <c r="S406" s="36"/>
      <c r="T406" s="36" t="s">
        <v>446</v>
      </c>
      <c r="U406" s="36" t="s">
        <v>445</v>
      </c>
      <c r="V406" s="36" t="s">
        <v>443</v>
      </c>
      <c r="W406" s="36" t="s">
        <v>444</v>
      </c>
      <c r="X406" s="36" t="s">
        <v>447</v>
      </c>
      <c r="Y406" s="36" t="s">
        <v>449</v>
      </c>
      <c r="Z406" s="36" t="s">
        <v>448</v>
      </c>
      <c r="AA406" s="36" t="s">
        <v>202</v>
      </c>
      <c r="AB406" s="36" t="s">
        <v>380</v>
      </c>
      <c r="AC406" s="36" t="s">
        <v>450</v>
      </c>
      <c r="AD406" s="36" t="s">
        <v>381</v>
      </c>
      <c r="AE406" s="36" t="s">
        <v>451</v>
      </c>
      <c r="AF406" s="36" t="s">
        <v>452</v>
      </c>
      <c r="AG406" s="36" t="s">
        <v>638</v>
      </c>
      <c r="AH406" s="36" t="s">
        <v>206</v>
      </c>
      <c r="AI406" s="36" t="s">
        <v>278</v>
      </c>
      <c r="AJ406" s="36" t="s">
        <v>207</v>
      </c>
      <c r="AK406" s="108"/>
      <c r="AL406" s="36"/>
      <c r="AM406" s="36"/>
      <c r="AN406" s="37"/>
      <c r="AO406" s="37"/>
      <c r="AP406" s="37"/>
      <c r="AQ406" s="37"/>
      <c r="AR406" s="37"/>
      <c r="AS406" s="37"/>
      <c r="AT406" s="37"/>
      <c r="AU406" s="37"/>
      <c r="AV406" s="37"/>
      <c r="AW406" s="37"/>
      <c r="AX406" s="37"/>
      <c r="AY406" s="37"/>
      <c r="AZ406" s="37"/>
      <c r="BA406" s="37"/>
      <c r="BB406" s="37"/>
      <c r="BC406" s="37"/>
      <c r="BD406" s="37"/>
      <c r="BE406" s="37"/>
    </row>
    <row r="407" spans="2:57" s="31" customFormat="1" ht="46.5" x14ac:dyDescent="0.3">
      <c r="B407" s="170" t="s">
        <v>553</v>
      </c>
      <c r="C407" s="161"/>
      <c r="D407" s="89" t="s">
        <v>52</v>
      </c>
      <c r="E407" s="59"/>
      <c r="F407" s="57"/>
      <c r="G407" s="369"/>
      <c r="H407" s="84" t="str">
        <f>IF(D407="t","","t/m3")</f>
        <v/>
      </c>
      <c r="J407" s="173" t="s">
        <v>441</v>
      </c>
      <c r="K407" s="96">
        <f>IF(ISNUMBER(L407),L407,IF(OR(C408=Pudotusvalikot!$D$14,C408=Pudotusvalikot!$D$15),Kalusto!$G$96,VLOOKUP(C408,Kalusto!$C$44:$G$83,5,FALSE))*IF(OR(C409=Pudotusvalikot!$V$3,C409=Pudotusvalikot!$V$4),Muut!$E$38,IF(C409=Pudotusvalikot!$V$5,Muut!$E$39,IF(C409=Pudotusvalikot!$V$6,Muut!$E$40,Muut!$E$41))))</f>
        <v>5.7709999999999997E-2</v>
      </c>
      <c r="L407" s="40"/>
      <c r="M407" s="41" t="s">
        <v>200</v>
      </c>
      <c r="N407" s="41"/>
      <c r="O407" s="256"/>
      <c r="Q407" s="47"/>
      <c r="R407" s="50" t="str">
        <f ca="1">IF(AND(NOT(ISNUMBER(AB407)),NOT(ISNUMBER(AG407))),"",IF(ISNUMBER(AB407),AB407,0)+IF(ISNUMBER(AG407),AG407,0))</f>
        <v/>
      </c>
      <c r="S407" s="102" t="s">
        <v>172</v>
      </c>
      <c r="T407" s="48" t="str">
        <f>IF(ISNUMBER(L407),"Kohdetieto",IF(OR(C408=Pudotusvalikot!$D$14,C408=Pudotusvalikot!$D$15),Kalusto!$I$96,VLOOKUP(C408,Kalusto!$C$44:$L$83,7,FALSE)))</f>
        <v>Maansiirtoauto</v>
      </c>
      <c r="U407" s="48">
        <f>IF(ISNUMBER(L407),"Kohdetieto",IF(OR(C408=Pudotusvalikot!$D$14,C408=Pudotusvalikot!$D$15),Kalusto!$J$96,VLOOKUP(C408,Kalusto!$C$44:$L$83,8,FALSE)))</f>
        <v>32</v>
      </c>
      <c r="V407" s="49">
        <f>IF(ISNUMBER(L407),"Kohdetieto",IF(OR(C408=Pudotusvalikot!$D$14,C408=Pudotusvalikot!$D$15),Kalusto!$K$96,VLOOKUP(C408,Kalusto!$C$44:$L$83,9,FALSE)))</f>
        <v>0.8</v>
      </c>
      <c r="W407" s="49" t="str">
        <f>IF(ISNUMBER(L407),"Kohdetieto",IF(OR(C408=Pudotusvalikot!$D$14,C408=Pudotusvalikot!$D$15),Kalusto!$L$96,VLOOKUP(C408,Kalusto!$C$44:$L$83,10,FALSE)))</f>
        <v>maantieajo</v>
      </c>
      <c r="X407" s="50" t="str">
        <f>IF(ISBLANK(C407),"",IF(D407="t",C407,C407*G407))</f>
        <v/>
      </c>
      <c r="Y407" s="48" t="str">
        <f>IF(ISNUMBER(C410),C410,"")</f>
        <v/>
      </c>
      <c r="Z407" s="50" t="str">
        <f>IF(ISNUMBER(X407/(U407*V407)*Y407),X407/(U407*V407)*Y407,"")</f>
        <v/>
      </c>
      <c r="AA407" s="51">
        <f>IF(ISNUMBER(L407),L407,K407)</f>
        <v>5.7709999999999997E-2</v>
      </c>
      <c r="AB407" s="50" t="str">
        <f>IF(ISNUMBER(Y407*X407*K407),Y407*X407*K407,"")</f>
        <v/>
      </c>
      <c r="AC407" s="50" t="str">
        <f>IF(ISNUMBER(Y407),Y407,"")</f>
        <v/>
      </c>
      <c r="AD407" s="50" t="str">
        <f>IF(ISNUMBER(X407),IF(ISNUMBER(X407/(U407*V407)),CEILING(X407/(U407*V407),1),""),"")</f>
        <v/>
      </c>
      <c r="AE407" s="50" t="str">
        <f>IF(ISNUMBER(AD407*AC407),AD407*AC407,"")</f>
        <v/>
      </c>
      <c r="AF407" s="51">
        <f ca="1">IF(ISNUMBER(L408),L408,K408)</f>
        <v>0.71940999999999999</v>
      </c>
      <c r="AG407" s="50" t="str">
        <f ca="1">IF(ISNUMBER(AC407*AD407*K408),AC407*AD407*K408,"")</f>
        <v/>
      </c>
      <c r="AH407" s="48">
        <f>IF(T407="Jakelukuorma-auto",0,IF(T407="Maansiirtoauto",4,IF(T407="Puoliperävaunu",6,8)))</f>
        <v>4</v>
      </c>
      <c r="AI407" s="48">
        <f>IF(AND(T407="Jakelukuorma-auto",U407=6),0,IF(AND(T407="Jakelukuorma-auto",U407=15),2,0))</f>
        <v>0</v>
      </c>
      <c r="AJ407" s="48">
        <f>IF(W407="maantieajo",0,1)</f>
        <v>0</v>
      </c>
      <c r="AK407" s="108"/>
      <c r="AL407" s="36"/>
      <c r="AM407" s="36"/>
      <c r="AN407" s="37"/>
      <c r="AO407" s="37"/>
      <c r="AP407" s="37"/>
      <c r="AQ407" s="37"/>
      <c r="AR407" s="37"/>
      <c r="AS407" s="37"/>
      <c r="AT407" s="37"/>
      <c r="AU407" s="37"/>
      <c r="AV407" s="37"/>
      <c r="AW407" s="37"/>
      <c r="AX407" s="37"/>
      <c r="AY407" s="37"/>
      <c r="AZ407" s="37"/>
      <c r="BA407" s="37"/>
      <c r="BB407" s="37"/>
      <c r="BC407" s="37"/>
      <c r="BD407" s="37"/>
      <c r="BE407" s="37"/>
    </row>
    <row r="408" spans="2:57" s="31" customFormat="1" ht="31" x14ac:dyDescent="0.3">
      <c r="B408" s="170" t="s">
        <v>550</v>
      </c>
      <c r="C408" s="392" t="s">
        <v>330</v>
      </c>
      <c r="D408" s="393"/>
      <c r="E408" s="393"/>
      <c r="F408" s="393"/>
      <c r="G408" s="394"/>
      <c r="I408" s="59"/>
      <c r="J408" s="33" t="s">
        <v>442</v>
      </c>
      <c r="K408" s="96">
        <f ca="1">IF(ISNUMBER(L408),L408,IF($C$100="Ei","",IF(AND($C$100="Kyllä",OR(C408=Pudotusvalikot!$D$14,C408=Pudotusvalikot!$D$15)),Kalusto!$G$97,OFFSET(Kalusto!$G$85,AH407+AJ407+AI407,0,1,1)))*IF(OR(C409=Pudotusvalikot!$V$3,C409=Pudotusvalikot!$V$4),Muut!$E$38,IF(C409=Pudotusvalikot!$V$5,Muut!$E$39,IF(C409=Pudotusvalikot!$V$6,Muut!$E$40,Muut!$E$41))))</f>
        <v>0.71940999999999999</v>
      </c>
      <c r="L408" s="40"/>
      <c r="M408" s="41" t="s">
        <v>204</v>
      </c>
      <c r="N408" s="41"/>
      <c r="O408" s="256"/>
      <c r="P408" s="34"/>
      <c r="Q408" s="52"/>
      <c r="R408" s="99"/>
      <c r="S408" s="36"/>
      <c r="T408" s="36"/>
      <c r="U408" s="36"/>
      <c r="V408" s="36"/>
      <c r="W408" s="36"/>
      <c r="X408" s="36"/>
      <c r="Y408" s="36"/>
      <c r="Z408" s="36"/>
      <c r="AA408" s="36"/>
      <c r="AB408" s="36"/>
      <c r="AC408" s="36"/>
      <c r="AD408" s="36"/>
      <c r="AE408" s="36"/>
      <c r="AF408" s="36"/>
      <c r="AG408" s="36"/>
      <c r="AH408" s="36"/>
      <c r="AI408" s="36"/>
      <c r="AJ408" s="36"/>
      <c r="AK408" s="36"/>
      <c r="AL408" s="36"/>
      <c r="AM408" s="36"/>
      <c r="AN408" s="37"/>
      <c r="AO408" s="37"/>
      <c r="AP408" s="37"/>
      <c r="AQ408" s="37"/>
      <c r="AR408" s="37"/>
      <c r="AS408" s="37"/>
      <c r="AT408" s="37"/>
      <c r="AU408" s="37"/>
      <c r="AV408" s="37"/>
      <c r="AW408" s="37"/>
      <c r="AX408" s="37"/>
      <c r="AY408" s="37"/>
      <c r="AZ408" s="37"/>
      <c r="BA408" s="37"/>
      <c r="BB408" s="37"/>
      <c r="BC408" s="37"/>
      <c r="BD408" s="37"/>
      <c r="BE408" s="37"/>
    </row>
    <row r="409" spans="2:57" s="31" customFormat="1" ht="15.5" x14ac:dyDescent="0.3">
      <c r="B409" s="186" t="s">
        <v>506</v>
      </c>
      <c r="C409" s="160" t="s">
        <v>242</v>
      </c>
      <c r="D409" s="34"/>
      <c r="E409" s="34"/>
      <c r="F409" s="34"/>
      <c r="G409" s="34"/>
      <c r="H409" s="59"/>
      <c r="J409" s="173"/>
      <c r="K409" s="173"/>
      <c r="L409" s="173"/>
      <c r="M409" s="41"/>
      <c r="N409" s="41"/>
      <c r="O409" s="256"/>
      <c r="Q409" s="47"/>
      <c r="R409" s="102"/>
      <c r="S409" s="102"/>
      <c r="T409" s="36"/>
      <c r="U409" s="36"/>
      <c r="V409" s="181"/>
      <c r="W409" s="181"/>
      <c r="X409" s="61"/>
      <c r="Y409" s="36"/>
      <c r="Z409" s="61"/>
      <c r="AA409" s="182"/>
      <c r="AB409" s="61"/>
      <c r="AC409" s="61"/>
      <c r="AD409" s="61"/>
      <c r="AE409" s="61"/>
      <c r="AF409" s="182"/>
      <c r="AG409" s="61"/>
      <c r="AH409" s="36"/>
      <c r="AI409" s="36"/>
      <c r="AJ409" s="36"/>
      <c r="AK409" s="108"/>
      <c r="AL409" s="36"/>
      <c r="AM409" s="36"/>
      <c r="AN409" s="37"/>
      <c r="AO409" s="37"/>
      <c r="AP409" s="37"/>
      <c r="AQ409" s="37"/>
      <c r="AR409" s="37"/>
      <c r="AS409" s="37"/>
      <c r="AT409" s="37"/>
      <c r="AU409" s="37"/>
      <c r="AV409" s="37"/>
      <c r="AW409" s="37"/>
      <c r="AX409" s="37"/>
      <c r="AY409" s="37"/>
      <c r="AZ409" s="37"/>
      <c r="BA409" s="37"/>
      <c r="BB409" s="37"/>
      <c r="BC409" s="37"/>
      <c r="BD409" s="37"/>
      <c r="BE409" s="37"/>
    </row>
    <row r="410" spans="2:57" s="31" customFormat="1" ht="15.5" x14ac:dyDescent="0.3">
      <c r="B410" s="45" t="s">
        <v>549</v>
      </c>
      <c r="C410" s="162"/>
      <c r="D410" s="84" t="s">
        <v>5</v>
      </c>
      <c r="G410" s="34"/>
      <c r="H410" s="84"/>
      <c r="I410" s="53"/>
      <c r="J410" s="53"/>
      <c r="K410" s="34"/>
      <c r="L410" s="34"/>
      <c r="M410" s="84"/>
      <c r="N410" s="84"/>
      <c r="O410" s="257"/>
      <c r="P410" s="53"/>
      <c r="Q410" s="52"/>
      <c r="R410" s="99"/>
      <c r="S410" s="36"/>
      <c r="T410" s="36"/>
      <c r="U410" s="36"/>
      <c r="V410" s="36"/>
      <c r="W410" s="36"/>
      <c r="X410" s="36"/>
      <c r="Y410" s="36"/>
      <c r="Z410" s="36"/>
      <c r="AA410" s="36"/>
      <c r="AB410" s="36"/>
      <c r="AC410" s="36"/>
      <c r="AD410" s="36"/>
      <c r="AE410" s="36"/>
      <c r="AF410" s="36"/>
      <c r="AG410" s="36"/>
      <c r="AH410" s="36"/>
      <c r="AI410" s="36"/>
      <c r="AJ410" s="36"/>
      <c r="AK410" s="36"/>
      <c r="AL410" s="36"/>
      <c r="AM410" s="36"/>
      <c r="AN410" s="37"/>
      <c r="AO410" s="37"/>
      <c r="AP410" s="37"/>
      <c r="AQ410" s="37"/>
      <c r="AR410" s="37"/>
      <c r="AS410" s="37"/>
      <c r="AT410" s="37"/>
      <c r="AU410" s="37"/>
      <c r="AV410" s="37"/>
      <c r="AW410" s="37"/>
      <c r="AX410" s="37"/>
      <c r="AY410" s="37"/>
      <c r="AZ410" s="37"/>
      <c r="BA410" s="37"/>
      <c r="BB410" s="37"/>
      <c r="BC410" s="37"/>
      <c r="BD410" s="37"/>
      <c r="BE410" s="37"/>
    </row>
    <row r="411" spans="2:57" s="31" customFormat="1" ht="15.5" x14ac:dyDescent="0.3">
      <c r="B411" s="54"/>
      <c r="C411" s="34"/>
      <c r="D411" s="59"/>
      <c r="E411" s="58"/>
      <c r="F411" s="58"/>
      <c r="G411" s="34"/>
      <c r="H411" s="84"/>
      <c r="J411" s="33"/>
      <c r="K411" s="34"/>
      <c r="L411" s="34"/>
      <c r="M411" s="84"/>
      <c r="N411" s="84"/>
      <c r="O411" s="257"/>
      <c r="Q411" s="35"/>
      <c r="R411" s="99"/>
      <c r="S411" s="36"/>
      <c r="T411" s="36"/>
      <c r="U411" s="36"/>
      <c r="V411" s="36"/>
      <c r="W411" s="36"/>
      <c r="X411" s="36"/>
      <c r="Y411" s="36"/>
      <c r="Z411" s="36"/>
      <c r="AA411" s="36"/>
      <c r="AB411" s="36"/>
      <c r="AC411" s="36"/>
      <c r="AD411" s="36"/>
      <c r="AE411" s="36"/>
      <c r="AF411" s="36"/>
      <c r="AG411" s="36"/>
      <c r="AH411" s="36"/>
      <c r="AI411" s="36"/>
      <c r="AJ411" s="36"/>
      <c r="AK411" s="36"/>
      <c r="AL411" s="36"/>
      <c r="AM411" s="36"/>
      <c r="AN411" s="37"/>
      <c r="AO411" s="37"/>
      <c r="AP411" s="37"/>
      <c r="AQ411" s="37"/>
      <c r="AR411" s="37"/>
      <c r="AS411" s="37"/>
      <c r="AT411" s="37"/>
      <c r="AU411" s="37"/>
      <c r="AV411" s="37"/>
      <c r="AW411" s="37"/>
      <c r="AX411" s="37"/>
      <c r="AY411" s="37"/>
      <c r="AZ411" s="37"/>
      <c r="BA411" s="37"/>
      <c r="BB411" s="37"/>
      <c r="BC411" s="37"/>
      <c r="BD411" s="37"/>
      <c r="BE411" s="37"/>
    </row>
    <row r="412" spans="2:57" s="31" customFormat="1" ht="15.5" x14ac:dyDescent="0.3">
      <c r="B412" s="177" t="s">
        <v>554</v>
      </c>
      <c r="C412" s="34"/>
      <c r="D412" s="59"/>
      <c r="E412" s="58"/>
      <c r="F412" s="58"/>
      <c r="G412" s="34"/>
      <c r="H412" s="84"/>
      <c r="J412" s="33"/>
      <c r="K412" s="34"/>
      <c r="L412" s="34"/>
      <c r="M412" s="84"/>
      <c r="N412" s="84"/>
      <c r="O412" s="257"/>
      <c r="Q412" s="35"/>
      <c r="R412" s="99"/>
      <c r="S412" s="36"/>
      <c r="T412" s="36"/>
      <c r="U412" s="36"/>
      <c r="V412" s="36"/>
      <c r="W412" s="36"/>
      <c r="X412" s="36"/>
      <c r="Y412" s="36"/>
      <c r="Z412" s="36"/>
      <c r="AA412" s="36"/>
      <c r="AB412" s="36"/>
      <c r="AC412" s="36"/>
      <c r="AD412" s="36"/>
      <c r="AE412" s="36"/>
      <c r="AF412" s="36"/>
      <c r="AG412" s="36"/>
      <c r="AH412" s="36"/>
      <c r="AI412" s="36"/>
      <c r="AJ412" s="36"/>
      <c r="AK412" s="36"/>
      <c r="AL412" s="36"/>
      <c r="AM412" s="36"/>
      <c r="AN412" s="37"/>
      <c r="AO412" s="37"/>
      <c r="AP412" s="37"/>
      <c r="AQ412" s="37"/>
      <c r="AR412" s="37"/>
      <c r="AS412" s="37"/>
      <c r="AT412" s="37"/>
      <c r="AU412" s="37"/>
      <c r="AV412" s="37"/>
      <c r="AW412" s="37"/>
      <c r="AX412" s="37"/>
      <c r="AY412" s="37"/>
      <c r="AZ412" s="37"/>
      <c r="BA412" s="37"/>
      <c r="BB412" s="37"/>
      <c r="BC412" s="37"/>
      <c r="BD412" s="37"/>
      <c r="BE412" s="37"/>
    </row>
    <row r="413" spans="2:57" s="31" customFormat="1" ht="15.5" x14ac:dyDescent="0.3">
      <c r="B413" s="54"/>
      <c r="C413" s="34"/>
      <c r="D413" s="59"/>
      <c r="E413" s="58"/>
      <c r="F413" s="58"/>
      <c r="G413" s="34"/>
      <c r="H413" s="84"/>
      <c r="J413" s="33"/>
      <c r="K413" s="34"/>
      <c r="L413" s="34"/>
      <c r="M413" s="84"/>
      <c r="N413" s="84"/>
      <c r="O413" s="255"/>
      <c r="Q413" s="35"/>
      <c r="R413" s="99"/>
      <c r="S413" s="36"/>
      <c r="T413" s="36"/>
      <c r="U413" s="36"/>
      <c r="V413" s="36"/>
      <c r="W413" s="36"/>
      <c r="X413" s="36"/>
      <c r="Y413" s="36"/>
      <c r="Z413" s="36"/>
      <c r="AA413" s="36"/>
      <c r="AB413" s="36"/>
      <c r="AC413" s="36"/>
      <c r="AD413" s="36"/>
      <c r="AE413" s="36"/>
      <c r="AF413" s="36"/>
      <c r="AG413" s="36"/>
      <c r="AH413" s="36"/>
      <c r="AI413" s="36"/>
      <c r="AJ413" s="36"/>
      <c r="AK413" s="36"/>
      <c r="AL413" s="36"/>
      <c r="AM413" s="36"/>
      <c r="AN413" s="37"/>
      <c r="AO413" s="37"/>
      <c r="AP413" s="37"/>
      <c r="AQ413" s="37"/>
      <c r="AR413" s="37"/>
      <c r="AS413" s="37"/>
      <c r="AT413" s="37"/>
      <c r="AU413" s="37"/>
      <c r="AV413" s="37"/>
      <c r="AW413" s="37"/>
      <c r="AX413" s="37"/>
      <c r="AY413" s="37"/>
      <c r="AZ413" s="37"/>
      <c r="BA413" s="37"/>
      <c r="BB413" s="37"/>
      <c r="BC413" s="37"/>
      <c r="BD413" s="37"/>
      <c r="BE413" s="37"/>
    </row>
    <row r="414" spans="2:57" s="298" customFormat="1" ht="18" x14ac:dyDescent="0.3">
      <c r="B414" s="295" t="s">
        <v>41</v>
      </c>
      <c r="C414" s="296"/>
      <c r="D414" s="297"/>
      <c r="G414" s="296"/>
      <c r="H414" s="297"/>
      <c r="K414" s="299"/>
      <c r="L414" s="299"/>
      <c r="M414" s="297"/>
      <c r="N414" s="297"/>
      <c r="O414" s="300"/>
      <c r="Q414" s="301"/>
      <c r="R414" s="302"/>
      <c r="S414" s="303"/>
      <c r="T414" s="303"/>
      <c r="U414" s="303"/>
      <c r="V414" s="303"/>
      <c r="W414" s="303"/>
      <c r="X414" s="303"/>
      <c r="Y414" s="303"/>
      <c r="Z414" s="303"/>
      <c r="AA414" s="303"/>
      <c r="AB414" s="303"/>
      <c r="AC414" s="303"/>
      <c r="AD414" s="303"/>
      <c r="AE414" s="303"/>
      <c r="AF414" s="303"/>
      <c r="AG414" s="303"/>
      <c r="AH414" s="303"/>
      <c r="AI414" s="303"/>
      <c r="AJ414" s="303"/>
      <c r="AK414" s="303"/>
      <c r="AL414" s="303"/>
      <c r="AM414" s="303"/>
      <c r="AN414" s="304"/>
      <c r="AO414" s="304"/>
      <c r="AP414" s="304"/>
      <c r="AQ414" s="304"/>
      <c r="AR414" s="304"/>
      <c r="AS414" s="304"/>
      <c r="AT414" s="304"/>
      <c r="AU414" s="304"/>
      <c r="AV414" s="304"/>
      <c r="AW414" s="304"/>
      <c r="AX414" s="304"/>
      <c r="AY414" s="304"/>
      <c r="AZ414" s="304"/>
      <c r="BA414" s="304"/>
      <c r="BB414" s="304"/>
      <c r="BC414" s="304"/>
      <c r="BD414" s="304"/>
      <c r="BE414" s="304"/>
    </row>
    <row r="415" spans="2:57" s="31" customFormat="1" ht="15.5" x14ac:dyDescent="0.3">
      <c r="B415" s="9"/>
      <c r="C415" s="34"/>
      <c r="D415" s="84"/>
      <c r="G415" s="34"/>
      <c r="H415" s="84"/>
      <c r="J415" s="33"/>
      <c r="K415" s="34"/>
      <c r="L415" s="34"/>
      <c r="M415" s="84"/>
      <c r="N415" s="84"/>
      <c r="O415" s="255" t="s">
        <v>644</v>
      </c>
      <c r="Q415" s="35"/>
      <c r="R415" s="99"/>
      <c r="S415" s="36"/>
      <c r="T415" s="36"/>
      <c r="U415" s="36"/>
      <c r="V415" s="36"/>
      <c r="W415" s="36"/>
      <c r="X415" s="36"/>
      <c r="Y415" s="36"/>
      <c r="Z415" s="36"/>
      <c r="AA415" s="36"/>
      <c r="AB415" s="36"/>
      <c r="AC415" s="36"/>
      <c r="AD415" s="36"/>
      <c r="AE415" s="36"/>
      <c r="AF415" s="36"/>
      <c r="AG415" s="36"/>
      <c r="AH415" s="36"/>
      <c r="AI415" s="36"/>
      <c r="AJ415" s="36"/>
      <c r="AK415" s="36"/>
      <c r="AL415" s="36"/>
      <c r="AM415" s="36"/>
      <c r="AN415" s="37"/>
      <c r="AO415" s="37"/>
      <c r="AP415" s="37"/>
      <c r="AQ415" s="37"/>
      <c r="AR415" s="37"/>
      <c r="AS415" s="37"/>
      <c r="AT415" s="37"/>
      <c r="AU415" s="37"/>
      <c r="AV415" s="37"/>
      <c r="AW415" s="37"/>
      <c r="AX415" s="37"/>
      <c r="AY415" s="37"/>
      <c r="AZ415" s="37"/>
      <c r="BA415" s="37"/>
      <c r="BB415" s="37"/>
      <c r="BC415" s="37"/>
      <c r="BD415" s="37"/>
      <c r="BE415" s="37"/>
    </row>
    <row r="416" spans="2:57" s="31" customFormat="1" ht="15.5" x14ac:dyDescent="0.3">
      <c r="B416" s="9" t="s">
        <v>597</v>
      </c>
      <c r="C416" s="34"/>
      <c r="D416" s="84"/>
      <c r="G416" s="34"/>
      <c r="H416" s="84"/>
      <c r="J416" s="33"/>
      <c r="K416" s="38"/>
      <c r="L416" s="38"/>
      <c r="M416" s="84"/>
      <c r="N416" s="84"/>
      <c r="O416" s="256"/>
      <c r="Q416" s="35"/>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7"/>
      <c r="AO416" s="37"/>
      <c r="AP416" s="37"/>
      <c r="AQ416" s="37"/>
      <c r="AR416" s="37"/>
      <c r="AS416" s="37"/>
      <c r="AT416" s="37"/>
      <c r="AU416" s="37"/>
      <c r="AV416" s="37"/>
      <c r="AW416" s="37"/>
      <c r="AX416" s="37"/>
      <c r="AY416" s="37"/>
      <c r="AZ416" s="37"/>
      <c r="BA416" s="37"/>
      <c r="BB416" s="37"/>
      <c r="BC416" s="37"/>
      <c r="BD416" s="37"/>
      <c r="BE416" s="37"/>
    </row>
    <row r="417" spans="2:57" s="31" customFormat="1" ht="15.5" x14ac:dyDescent="0.3">
      <c r="B417" s="9"/>
      <c r="C417" s="34"/>
      <c r="D417" s="84"/>
      <c r="G417" s="34"/>
      <c r="H417" s="84"/>
      <c r="J417" s="33"/>
      <c r="K417" s="38" t="s">
        <v>329</v>
      </c>
      <c r="L417" s="38" t="s">
        <v>201</v>
      </c>
      <c r="M417" s="84"/>
      <c r="N417" s="84"/>
      <c r="O417" s="257"/>
      <c r="Q417" s="35"/>
      <c r="R417" s="36" t="s">
        <v>350</v>
      </c>
      <c r="S417" s="36"/>
      <c r="T417" s="36"/>
      <c r="U417" s="36"/>
      <c r="V417" s="36"/>
      <c r="W417" s="36"/>
      <c r="X417" s="36"/>
      <c r="Y417" s="36"/>
      <c r="Z417" s="36"/>
      <c r="AA417" s="36"/>
      <c r="AB417" s="36"/>
      <c r="AC417" s="36"/>
      <c r="AD417" s="36"/>
      <c r="AE417" s="36"/>
      <c r="AF417" s="36"/>
      <c r="AG417" s="36"/>
      <c r="AH417" s="36"/>
      <c r="AI417" s="36"/>
      <c r="AJ417" s="36"/>
      <c r="AK417" s="36"/>
      <c r="AL417" s="36"/>
      <c r="AM417" s="36"/>
      <c r="AN417" s="37"/>
      <c r="AO417" s="37"/>
      <c r="AP417" s="37"/>
      <c r="AQ417" s="37"/>
      <c r="AR417" s="37"/>
      <c r="AS417" s="37"/>
      <c r="AT417" s="37"/>
      <c r="AU417" s="37"/>
      <c r="AV417" s="37"/>
      <c r="AW417" s="37"/>
      <c r="AX417" s="37"/>
      <c r="AY417" s="37"/>
      <c r="AZ417" s="37"/>
      <c r="BA417" s="37"/>
      <c r="BB417" s="37"/>
      <c r="BC417" s="37"/>
      <c r="BD417" s="37"/>
      <c r="BE417" s="37"/>
    </row>
    <row r="418" spans="2:57" s="31" customFormat="1" ht="31" x14ac:dyDescent="0.3">
      <c r="B418" s="86" t="s">
        <v>551</v>
      </c>
      <c r="C418" s="160"/>
      <c r="D418" s="84" t="s">
        <v>175</v>
      </c>
      <c r="G418" s="34"/>
      <c r="H418" s="84"/>
      <c r="J418" s="33" t="s">
        <v>565</v>
      </c>
      <c r="K418" s="96">
        <f>IF(ISNUMBER(L418),L418,Muut!$H$28*IF(OR(C419=Pudotusvalikot!$V$3,C419=Pudotusvalikot!$V$4),Muut!$E$38,IF(C419=Pudotusvalikot!$V$5,Muut!$E$39,IF(C419=Pudotusvalikot!$V$6,Muut!$E$40,Muut!$E$41))))</f>
        <v>0.22753333333333334</v>
      </c>
      <c r="L418" s="63"/>
      <c r="M418" s="41" t="s">
        <v>226</v>
      </c>
      <c r="N418" s="41"/>
      <c r="O418" s="256"/>
      <c r="Q418" s="35"/>
      <c r="R418" s="109" t="str">
        <f>IF(AND(ISNUMBER(K418),ISNUMBER(C418)),K418*C418,"")</f>
        <v/>
      </c>
      <c r="S418" s="102" t="s">
        <v>172</v>
      </c>
      <c r="T418" s="61"/>
      <c r="U418" s="61"/>
      <c r="V418" s="61"/>
      <c r="W418" s="36"/>
      <c r="X418" s="36"/>
      <c r="Y418" s="36"/>
      <c r="Z418" s="36"/>
      <c r="AA418" s="36"/>
      <c r="AB418" s="36"/>
      <c r="AC418" s="36"/>
      <c r="AD418" s="36"/>
      <c r="AE418" s="36"/>
      <c r="AF418" s="36"/>
      <c r="AG418" s="36"/>
      <c r="AH418" s="36"/>
      <c r="AI418" s="36"/>
      <c r="AJ418" s="36"/>
      <c r="AK418" s="36"/>
      <c r="AL418" s="36"/>
      <c r="AM418" s="36"/>
      <c r="AN418" s="37"/>
      <c r="AO418" s="37"/>
      <c r="AP418" s="37"/>
      <c r="AQ418" s="37"/>
      <c r="AR418" s="37"/>
      <c r="AS418" s="37"/>
      <c r="AT418" s="37"/>
      <c r="AU418" s="37"/>
      <c r="AV418" s="37"/>
      <c r="AW418" s="37"/>
      <c r="AX418" s="37"/>
      <c r="AY418" s="37"/>
      <c r="AZ418" s="37"/>
      <c r="BA418" s="37"/>
      <c r="BB418" s="37"/>
      <c r="BC418" s="37"/>
      <c r="BD418" s="37"/>
      <c r="BE418" s="37"/>
    </row>
    <row r="419" spans="2:57" s="31" customFormat="1" ht="15.5" x14ac:dyDescent="0.3">
      <c r="B419" s="170" t="s">
        <v>509</v>
      </c>
      <c r="C419" s="160" t="s">
        <v>242</v>
      </c>
      <c r="D419" s="34"/>
      <c r="E419" s="34"/>
      <c r="F419" s="34"/>
      <c r="G419" s="34"/>
      <c r="H419" s="34"/>
      <c r="I419" s="34"/>
      <c r="J419" s="173"/>
      <c r="K419" s="173"/>
      <c r="L419" s="173"/>
      <c r="M419" s="41"/>
      <c r="N419" s="41"/>
      <c r="O419" s="256"/>
      <c r="Q419" s="47"/>
      <c r="R419" s="61"/>
      <c r="S419" s="102"/>
      <c r="T419" s="36"/>
      <c r="U419" s="36"/>
      <c r="V419" s="181"/>
      <c r="W419" s="181"/>
      <c r="X419" s="61"/>
      <c r="Y419" s="36"/>
      <c r="Z419" s="61"/>
      <c r="AA419" s="182"/>
      <c r="AB419" s="61"/>
      <c r="AC419" s="61"/>
      <c r="AD419" s="61"/>
      <c r="AE419" s="61"/>
      <c r="AF419" s="182"/>
      <c r="AG419" s="61"/>
      <c r="AH419" s="36"/>
      <c r="AI419" s="36"/>
      <c r="AJ419" s="36"/>
      <c r="AK419" s="108"/>
      <c r="AL419" s="36"/>
      <c r="AM419" s="36"/>
      <c r="AN419" s="37"/>
      <c r="AO419" s="37"/>
      <c r="AP419" s="37"/>
      <c r="AQ419" s="37"/>
      <c r="AR419" s="37"/>
      <c r="AS419" s="37"/>
      <c r="AT419" s="37"/>
      <c r="AU419" s="37"/>
      <c r="AV419" s="37"/>
      <c r="AW419" s="37"/>
      <c r="AX419" s="37"/>
      <c r="AY419" s="37"/>
      <c r="AZ419" s="37"/>
      <c r="BA419" s="37"/>
      <c r="BB419" s="37"/>
      <c r="BC419" s="37"/>
      <c r="BD419" s="37"/>
      <c r="BE419" s="37"/>
    </row>
    <row r="420" spans="2:57" s="31" customFormat="1" ht="46.5" x14ac:dyDescent="0.3">
      <c r="B420" s="86" t="s">
        <v>527</v>
      </c>
      <c r="F420" s="34"/>
      <c r="G420" s="34"/>
      <c r="H420" s="34"/>
      <c r="I420" s="34"/>
      <c r="K420" s="38" t="s">
        <v>329</v>
      </c>
      <c r="L420" s="38" t="s">
        <v>201</v>
      </c>
      <c r="M420" s="84"/>
      <c r="N420" s="84"/>
      <c r="O420" s="257"/>
      <c r="Q420" s="35"/>
      <c r="R420" s="36" t="s">
        <v>350</v>
      </c>
      <c r="S420" s="108"/>
      <c r="T420" s="36"/>
      <c r="U420" s="36"/>
      <c r="V420" s="36"/>
      <c r="W420" s="36"/>
      <c r="X420" s="36"/>
      <c r="Y420" s="36"/>
      <c r="Z420" s="36"/>
      <c r="AA420" s="36"/>
      <c r="AB420" s="36"/>
      <c r="AC420" s="36"/>
      <c r="AD420" s="36"/>
      <c r="AE420" s="36"/>
      <c r="AF420" s="36"/>
      <c r="AG420" s="36"/>
      <c r="AH420" s="36"/>
      <c r="AI420" s="36"/>
      <c r="AJ420" s="36"/>
      <c r="AK420" s="36"/>
      <c r="AL420" s="36"/>
      <c r="AM420" s="36"/>
      <c r="AN420" s="37"/>
      <c r="AO420" s="37"/>
      <c r="AP420" s="37"/>
      <c r="AQ420" s="37"/>
      <c r="AR420" s="37"/>
      <c r="AS420" s="37"/>
      <c r="AT420" s="37"/>
      <c r="AU420" s="37"/>
      <c r="AV420" s="37"/>
      <c r="AW420" s="37"/>
      <c r="AX420" s="37"/>
      <c r="AY420" s="37"/>
      <c r="AZ420" s="37"/>
      <c r="BA420" s="37"/>
      <c r="BB420" s="37"/>
      <c r="BC420" s="37"/>
      <c r="BD420" s="37"/>
      <c r="BE420" s="37"/>
    </row>
    <row r="421" spans="2:57" s="31" customFormat="1" ht="15.5" x14ac:dyDescent="0.3">
      <c r="B421" s="368" t="s">
        <v>555</v>
      </c>
      <c r="C421" s="160"/>
      <c r="D421" s="84" t="s">
        <v>52</v>
      </c>
      <c r="G421" s="34"/>
      <c r="H421" s="84"/>
      <c r="J421" s="33" t="s">
        <v>382</v>
      </c>
      <c r="K421" s="138">
        <f>IF(ISNUMBER(L421),L421,Muut!$H$30)</f>
        <v>33.857142857142854</v>
      </c>
      <c r="L421" s="63"/>
      <c r="M421" s="41" t="s">
        <v>277</v>
      </c>
      <c r="N421" s="41"/>
      <c r="O421" s="256"/>
      <c r="Q421" s="35"/>
      <c r="R421" s="109" t="str">
        <f>IF(AND(ISNUMBER(K421),ISNUMBER(C421)),K421*C421,"")</f>
        <v/>
      </c>
      <c r="S421" s="102" t="s">
        <v>172</v>
      </c>
      <c r="T421" s="36"/>
      <c r="U421" s="36"/>
      <c r="V421" s="36"/>
      <c r="W421" s="36"/>
      <c r="X421" s="36"/>
      <c r="Y421" s="36"/>
      <c r="Z421" s="36"/>
      <c r="AA421" s="36"/>
      <c r="AB421" s="36"/>
      <c r="AC421" s="36"/>
      <c r="AD421" s="36"/>
      <c r="AE421" s="36"/>
      <c r="AF421" s="36"/>
      <c r="AG421" s="36"/>
      <c r="AH421" s="36"/>
      <c r="AI421" s="36"/>
      <c r="AJ421" s="36"/>
      <c r="AK421" s="36"/>
      <c r="AL421" s="36"/>
      <c r="AM421" s="36"/>
      <c r="AN421" s="37"/>
      <c r="AO421" s="37"/>
      <c r="AP421" s="37"/>
      <c r="AQ421" s="37"/>
      <c r="AR421" s="37"/>
      <c r="AS421" s="37"/>
      <c r="AT421" s="37"/>
      <c r="AU421" s="37"/>
      <c r="AV421" s="37"/>
      <c r="AW421" s="37"/>
      <c r="AX421" s="37"/>
      <c r="AY421" s="37"/>
      <c r="AZ421" s="37"/>
      <c r="BA421" s="37"/>
      <c r="BB421" s="37"/>
      <c r="BC421" s="37"/>
      <c r="BD421" s="37"/>
      <c r="BE421" s="37"/>
    </row>
    <row r="422" spans="2:57" s="31" customFormat="1" ht="15.5" x14ac:dyDescent="0.3">
      <c r="B422" s="170" t="s">
        <v>570</v>
      </c>
      <c r="C422" s="160"/>
      <c r="D422" s="84" t="s">
        <v>8</v>
      </c>
      <c r="E422" s="34"/>
      <c r="F422" s="34"/>
      <c r="G422" s="34"/>
      <c r="H422" s="84"/>
      <c r="J422" s="33" t="s">
        <v>560</v>
      </c>
      <c r="K422" s="96" t="str">
        <f>IF(ISNUMBER(L422),L422,"")</f>
        <v/>
      </c>
      <c r="L422" s="185"/>
      <c r="M422" s="41" t="s">
        <v>277</v>
      </c>
      <c r="N422" s="41"/>
      <c r="O422" s="256"/>
      <c r="Q422" s="35"/>
      <c r="R422" s="109" t="str">
        <f>IF(AND(ISNUMBER(K422),ISNUMBER(C422)),-K422*C422,"")</f>
        <v/>
      </c>
      <c r="S422" s="102" t="s">
        <v>172</v>
      </c>
      <c r="T422" s="135" t="s">
        <v>383</v>
      </c>
      <c r="U422" s="36"/>
      <c r="V422" s="36"/>
      <c r="W422" s="36"/>
      <c r="X422" s="36"/>
      <c r="Y422" s="36"/>
      <c r="Z422" s="36"/>
      <c r="AA422" s="36"/>
      <c r="AB422" s="36"/>
      <c r="AC422" s="36"/>
      <c r="AD422" s="36"/>
      <c r="AE422" s="36"/>
      <c r="AF422" s="36"/>
      <c r="AG422" s="36"/>
      <c r="AH422" s="36"/>
      <c r="AI422" s="36"/>
      <c r="AJ422" s="36"/>
      <c r="AK422" s="36"/>
      <c r="AL422" s="36"/>
      <c r="AM422" s="36"/>
      <c r="AN422" s="37"/>
      <c r="AO422" s="37"/>
      <c r="AP422" s="37"/>
      <c r="AQ422" s="37"/>
      <c r="AR422" s="37"/>
      <c r="AS422" s="37"/>
      <c r="AT422" s="37"/>
      <c r="AU422" s="37"/>
      <c r="AV422" s="37"/>
      <c r="AW422" s="37"/>
      <c r="AX422" s="37"/>
      <c r="AY422" s="37"/>
      <c r="AZ422" s="37"/>
      <c r="BA422" s="37"/>
      <c r="BB422" s="37"/>
      <c r="BC422" s="37"/>
      <c r="BD422" s="37"/>
      <c r="BE422" s="37"/>
    </row>
    <row r="423" spans="2:57" s="31" customFormat="1" ht="15.5" x14ac:dyDescent="0.3">
      <c r="B423" s="170" t="s">
        <v>571</v>
      </c>
      <c r="C423" s="160"/>
      <c r="D423" s="84" t="s">
        <v>8</v>
      </c>
      <c r="E423" s="34"/>
      <c r="F423" s="34"/>
      <c r="G423" s="34"/>
      <c r="H423" s="84"/>
      <c r="J423" s="33" t="s">
        <v>564</v>
      </c>
      <c r="K423" s="96" t="str">
        <f>IF(ISNUMBER(L423),L423,"")</f>
        <v/>
      </c>
      <c r="L423" s="185"/>
      <c r="M423" s="41" t="s">
        <v>277</v>
      </c>
      <c r="N423" s="41"/>
      <c r="O423" s="256"/>
      <c r="Q423" s="35"/>
      <c r="R423" s="109" t="str">
        <f>IF(AND(ISNUMBER(K423),ISNUMBER(C423)),-K423*C423,"")</f>
        <v/>
      </c>
      <c r="S423" s="102" t="s">
        <v>172</v>
      </c>
      <c r="T423" s="135" t="s">
        <v>383</v>
      </c>
      <c r="U423" s="36"/>
      <c r="V423" s="36"/>
      <c r="W423" s="36"/>
      <c r="X423" s="36"/>
      <c r="Y423" s="36"/>
      <c r="Z423" s="36"/>
      <c r="AA423" s="36"/>
      <c r="AB423" s="36"/>
      <c r="AC423" s="36"/>
      <c r="AD423" s="36"/>
      <c r="AE423" s="36"/>
      <c r="AF423" s="36"/>
      <c r="AG423" s="36"/>
      <c r="AH423" s="36"/>
      <c r="AI423" s="36"/>
      <c r="AJ423" s="36"/>
      <c r="AK423" s="36"/>
      <c r="AL423" s="36"/>
      <c r="AM423" s="36"/>
      <c r="AN423" s="37"/>
      <c r="AO423" s="37"/>
      <c r="AP423" s="37"/>
      <c r="AQ423" s="37"/>
      <c r="AR423" s="37"/>
      <c r="AS423" s="37"/>
      <c r="AT423" s="37"/>
      <c r="AU423" s="37"/>
      <c r="AV423" s="37"/>
      <c r="AW423" s="37"/>
      <c r="AX423" s="37"/>
      <c r="AY423" s="37"/>
      <c r="AZ423" s="37"/>
      <c r="BA423" s="37"/>
      <c r="BB423" s="37"/>
      <c r="BC423" s="37"/>
      <c r="BD423" s="37"/>
      <c r="BE423" s="37"/>
    </row>
    <row r="424" spans="2:57" s="31" customFormat="1" ht="15.5" x14ac:dyDescent="0.3">
      <c r="B424" s="368" t="s">
        <v>556</v>
      </c>
      <c r="C424" s="160"/>
      <c r="D424" s="84" t="s">
        <v>52</v>
      </c>
      <c r="G424" s="34"/>
      <c r="H424" s="84"/>
      <c r="J424" s="33" t="s">
        <v>382</v>
      </c>
      <c r="K424" s="138">
        <f>IF(ISNUMBER(L424),L424,Muut!$H$30)</f>
        <v>33.857142857142854</v>
      </c>
      <c r="L424" s="63"/>
      <c r="M424" s="41" t="s">
        <v>277</v>
      </c>
      <c r="N424" s="41"/>
      <c r="O424" s="256"/>
      <c r="Q424" s="35"/>
      <c r="R424" s="109" t="str">
        <f>IF(AND(ISNUMBER(K424),ISNUMBER(C424)),K424*C424,"")</f>
        <v/>
      </c>
      <c r="S424" s="102" t="s">
        <v>172</v>
      </c>
      <c r="T424" s="36"/>
      <c r="U424" s="36"/>
      <c r="V424" s="36"/>
      <c r="W424" s="36"/>
      <c r="X424" s="36"/>
      <c r="Y424" s="36"/>
      <c r="Z424" s="36"/>
      <c r="AA424" s="36"/>
      <c r="AB424" s="36"/>
      <c r="AC424" s="36"/>
      <c r="AD424" s="36"/>
      <c r="AE424" s="36"/>
      <c r="AF424" s="36"/>
      <c r="AG424" s="36"/>
      <c r="AH424" s="36"/>
      <c r="AI424" s="36"/>
      <c r="AJ424" s="36"/>
      <c r="AK424" s="36"/>
      <c r="AL424" s="36"/>
      <c r="AM424" s="36"/>
      <c r="AN424" s="37"/>
      <c r="AO424" s="37"/>
      <c r="AP424" s="37"/>
      <c r="AQ424" s="37"/>
      <c r="AR424" s="37"/>
      <c r="AS424" s="37"/>
      <c r="AT424" s="37"/>
      <c r="AU424" s="37"/>
      <c r="AV424" s="37"/>
      <c r="AW424" s="37"/>
      <c r="AX424" s="37"/>
      <c r="AY424" s="37"/>
      <c r="AZ424" s="37"/>
      <c r="BA424" s="37"/>
      <c r="BB424" s="37"/>
      <c r="BC424" s="37"/>
      <c r="BD424" s="37"/>
      <c r="BE424" s="37"/>
    </row>
    <row r="425" spans="2:57" s="31" customFormat="1" ht="15.5" x14ac:dyDescent="0.3">
      <c r="B425" s="170" t="s">
        <v>572</v>
      </c>
      <c r="C425" s="160"/>
      <c r="D425" s="84" t="s">
        <v>8</v>
      </c>
      <c r="G425" s="34"/>
      <c r="H425" s="84"/>
      <c r="J425" s="33" t="s">
        <v>560</v>
      </c>
      <c r="K425" s="96" t="str">
        <f>IF(ISNUMBER(L425),L425,"")</f>
        <v/>
      </c>
      <c r="L425" s="185"/>
      <c r="M425" s="41" t="s">
        <v>277</v>
      </c>
      <c r="N425" s="41"/>
      <c r="O425" s="256"/>
      <c r="Q425" s="35"/>
      <c r="R425" s="109" t="str">
        <f>IF(AND(ISNUMBER(K425),ISNUMBER(C425)),-K425*C425,"")</f>
        <v/>
      </c>
      <c r="S425" s="102" t="s">
        <v>172</v>
      </c>
      <c r="T425" s="135" t="s">
        <v>383</v>
      </c>
      <c r="U425" s="36"/>
      <c r="V425" s="36"/>
      <c r="W425" s="36"/>
      <c r="X425" s="36"/>
      <c r="Y425" s="36"/>
      <c r="Z425" s="36"/>
      <c r="AA425" s="36"/>
      <c r="AB425" s="36"/>
      <c r="AC425" s="36"/>
      <c r="AD425" s="36"/>
      <c r="AE425" s="36"/>
      <c r="AF425" s="36"/>
      <c r="AG425" s="36"/>
      <c r="AH425" s="36"/>
      <c r="AI425" s="36"/>
      <c r="AJ425" s="36"/>
      <c r="AK425" s="36"/>
      <c r="AL425" s="36"/>
      <c r="AM425" s="36"/>
      <c r="AN425" s="37"/>
      <c r="AO425" s="37"/>
      <c r="AP425" s="37"/>
      <c r="AQ425" s="37"/>
      <c r="AR425" s="37"/>
      <c r="AS425" s="37"/>
      <c r="AT425" s="37"/>
      <c r="AU425" s="37"/>
      <c r="AV425" s="37"/>
      <c r="AW425" s="37"/>
      <c r="AX425" s="37"/>
      <c r="AY425" s="37"/>
      <c r="AZ425" s="37"/>
      <c r="BA425" s="37"/>
      <c r="BB425" s="37"/>
      <c r="BC425" s="37"/>
      <c r="BD425" s="37"/>
      <c r="BE425" s="37"/>
    </row>
    <row r="426" spans="2:57" s="31" customFormat="1" ht="15.5" x14ac:dyDescent="0.3">
      <c r="B426" s="170" t="s">
        <v>571</v>
      </c>
      <c r="C426" s="160"/>
      <c r="D426" s="84" t="s">
        <v>8</v>
      </c>
      <c r="E426" s="34"/>
      <c r="F426" s="34"/>
      <c r="G426" s="34"/>
      <c r="H426" s="84"/>
      <c r="J426" s="33" t="s">
        <v>564</v>
      </c>
      <c r="K426" s="96" t="str">
        <f>IF(ISNUMBER(L426),L426,"")</f>
        <v/>
      </c>
      <c r="L426" s="185"/>
      <c r="M426" s="41" t="s">
        <v>277</v>
      </c>
      <c r="N426" s="41"/>
      <c r="O426" s="256"/>
      <c r="Q426" s="35"/>
      <c r="R426" s="109" t="str">
        <f>IF(AND(ISNUMBER(K426),ISNUMBER(C426)),-K426*C426,"")</f>
        <v/>
      </c>
      <c r="S426" s="102" t="s">
        <v>172</v>
      </c>
      <c r="T426" s="135" t="s">
        <v>383</v>
      </c>
      <c r="U426" s="36"/>
      <c r="V426" s="36"/>
      <c r="W426" s="36"/>
      <c r="X426" s="36"/>
      <c r="Y426" s="36"/>
      <c r="Z426" s="36"/>
      <c r="AA426" s="36"/>
      <c r="AB426" s="36"/>
      <c r="AC426" s="36"/>
      <c r="AD426" s="36"/>
      <c r="AE426" s="36"/>
      <c r="AF426" s="36"/>
      <c r="AG426" s="36"/>
      <c r="AH426" s="36"/>
      <c r="AI426" s="36"/>
      <c r="AJ426" s="36"/>
      <c r="AK426" s="36"/>
      <c r="AL426" s="36"/>
      <c r="AM426" s="36"/>
      <c r="AN426" s="37"/>
      <c r="AO426" s="37"/>
      <c r="AP426" s="37"/>
      <c r="AQ426" s="37"/>
      <c r="AR426" s="37"/>
      <c r="AS426" s="37"/>
      <c r="AT426" s="37"/>
      <c r="AU426" s="37"/>
      <c r="AV426" s="37"/>
      <c r="AW426" s="37"/>
      <c r="AX426" s="37"/>
      <c r="AY426" s="37"/>
      <c r="AZ426" s="37"/>
      <c r="BA426" s="37"/>
      <c r="BB426" s="37"/>
      <c r="BC426" s="37"/>
      <c r="BD426" s="37"/>
      <c r="BE426" s="37"/>
    </row>
    <row r="427" spans="2:57" s="31" customFormat="1" ht="15.5" x14ac:dyDescent="0.3">
      <c r="B427" s="368" t="s">
        <v>557</v>
      </c>
      <c r="C427" s="160"/>
      <c r="D427" s="84" t="s">
        <v>52</v>
      </c>
      <c r="G427" s="34"/>
      <c r="H427" s="84"/>
      <c r="J427" s="33" t="s">
        <v>382</v>
      </c>
      <c r="K427" s="138">
        <f>IF(ISNUMBER(L427),L427,Muut!$H$30)</f>
        <v>33.857142857142854</v>
      </c>
      <c r="L427" s="63"/>
      <c r="M427" s="41" t="s">
        <v>277</v>
      </c>
      <c r="N427" s="41"/>
      <c r="O427" s="256"/>
      <c r="Q427" s="35"/>
      <c r="R427" s="109" t="str">
        <f>IF(AND(ISNUMBER(K427),ISNUMBER(C427)),K427*C427,"")</f>
        <v/>
      </c>
      <c r="S427" s="102" t="s">
        <v>172</v>
      </c>
      <c r="T427" s="36"/>
      <c r="U427" s="36"/>
      <c r="V427" s="36"/>
      <c r="W427" s="36"/>
      <c r="X427" s="36"/>
      <c r="Y427" s="36"/>
      <c r="Z427" s="36"/>
      <c r="AA427" s="36"/>
      <c r="AB427" s="36"/>
      <c r="AC427" s="36"/>
      <c r="AD427" s="36"/>
      <c r="AE427" s="36"/>
      <c r="AF427" s="36"/>
      <c r="AG427" s="36"/>
      <c r="AH427" s="36"/>
      <c r="AI427" s="36"/>
      <c r="AJ427" s="36"/>
      <c r="AK427" s="36"/>
      <c r="AL427" s="36"/>
      <c r="AM427" s="36"/>
      <c r="AN427" s="37"/>
      <c r="AO427" s="37"/>
      <c r="AP427" s="37"/>
      <c r="AQ427" s="37"/>
      <c r="AR427" s="37"/>
      <c r="AS427" s="37"/>
      <c r="AT427" s="37"/>
      <c r="AU427" s="37"/>
      <c r="AV427" s="37"/>
      <c r="AW427" s="37"/>
      <c r="AX427" s="37"/>
      <c r="AY427" s="37"/>
      <c r="AZ427" s="37"/>
      <c r="BA427" s="37"/>
      <c r="BB427" s="37"/>
      <c r="BC427" s="37"/>
      <c r="BD427" s="37"/>
      <c r="BE427" s="37"/>
    </row>
    <row r="428" spans="2:57" s="31" customFormat="1" ht="15.5" x14ac:dyDescent="0.3">
      <c r="B428" s="170" t="s">
        <v>572</v>
      </c>
      <c r="C428" s="160"/>
      <c r="D428" s="84" t="s">
        <v>8</v>
      </c>
      <c r="E428" s="34"/>
      <c r="F428" s="34"/>
      <c r="G428" s="34"/>
      <c r="H428" s="84"/>
      <c r="J428" s="33" t="s">
        <v>560</v>
      </c>
      <c r="K428" s="96" t="str">
        <f>IF(ISNUMBER(L428),L428,"")</f>
        <v/>
      </c>
      <c r="L428" s="185"/>
      <c r="M428" s="41" t="s">
        <v>277</v>
      </c>
      <c r="N428" s="41"/>
      <c r="O428" s="256"/>
      <c r="Q428" s="35"/>
      <c r="R428" s="109" t="str">
        <f>IF(AND(ISNUMBER(K428),ISNUMBER(C428)),-K428*C428,"")</f>
        <v/>
      </c>
      <c r="S428" s="102" t="s">
        <v>172</v>
      </c>
      <c r="T428" s="135" t="s">
        <v>383</v>
      </c>
      <c r="U428" s="36"/>
      <c r="V428" s="36"/>
      <c r="W428" s="36"/>
      <c r="X428" s="36"/>
      <c r="Y428" s="36"/>
      <c r="Z428" s="36"/>
      <c r="AA428" s="36"/>
      <c r="AB428" s="36"/>
      <c r="AC428" s="36"/>
      <c r="AD428" s="36"/>
      <c r="AE428" s="36"/>
      <c r="AF428" s="36"/>
      <c r="AG428" s="36"/>
      <c r="AH428" s="36"/>
      <c r="AI428" s="36"/>
      <c r="AJ428" s="36"/>
      <c r="AK428" s="36"/>
      <c r="AL428" s="36"/>
      <c r="AM428" s="36"/>
      <c r="AN428" s="37"/>
      <c r="AO428" s="37"/>
      <c r="AP428" s="37"/>
      <c r="AQ428" s="37"/>
      <c r="AR428" s="37"/>
      <c r="AS428" s="37"/>
      <c r="AT428" s="37"/>
      <c r="AU428" s="37"/>
      <c r="AV428" s="37"/>
      <c r="AW428" s="37"/>
      <c r="AX428" s="37"/>
      <c r="AY428" s="37"/>
      <c r="AZ428" s="37"/>
      <c r="BA428" s="37"/>
      <c r="BB428" s="37"/>
      <c r="BC428" s="37"/>
      <c r="BD428" s="37"/>
      <c r="BE428" s="37"/>
    </row>
    <row r="429" spans="2:57" s="31" customFormat="1" ht="15.5" x14ac:dyDescent="0.3">
      <c r="B429" s="170" t="s">
        <v>571</v>
      </c>
      <c r="C429" s="160"/>
      <c r="D429" s="84" t="s">
        <v>8</v>
      </c>
      <c r="E429" s="34"/>
      <c r="F429" s="34"/>
      <c r="G429" s="34"/>
      <c r="H429" s="84"/>
      <c r="J429" s="33" t="s">
        <v>564</v>
      </c>
      <c r="K429" s="96" t="str">
        <f>IF(ISNUMBER(L429),L429,"")</f>
        <v/>
      </c>
      <c r="L429" s="185"/>
      <c r="M429" s="41" t="s">
        <v>277</v>
      </c>
      <c r="N429" s="41"/>
      <c r="O429" s="256"/>
      <c r="Q429" s="35"/>
      <c r="R429" s="109" t="str">
        <f>IF(AND(ISNUMBER(K429),ISNUMBER(C429)),-K429*C429,"")</f>
        <v/>
      </c>
      <c r="S429" s="102" t="s">
        <v>172</v>
      </c>
      <c r="T429" s="135" t="s">
        <v>383</v>
      </c>
      <c r="U429" s="36"/>
      <c r="V429" s="36"/>
      <c r="W429" s="36"/>
      <c r="X429" s="36"/>
      <c r="Y429" s="36"/>
      <c r="Z429" s="36"/>
      <c r="AA429" s="36"/>
      <c r="AB429" s="36"/>
      <c r="AC429" s="36"/>
      <c r="AD429" s="36"/>
      <c r="AE429" s="36"/>
      <c r="AF429" s="36"/>
      <c r="AG429" s="36"/>
      <c r="AH429" s="36"/>
      <c r="AI429" s="36"/>
      <c r="AJ429" s="36"/>
      <c r="AK429" s="36"/>
      <c r="AL429" s="36"/>
      <c r="AM429" s="36"/>
      <c r="AN429" s="37"/>
      <c r="AO429" s="37"/>
      <c r="AP429" s="37"/>
      <c r="AQ429" s="37"/>
      <c r="AR429" s="37"/>
      <c r="AS429" s="37"/>
      <c r="AT429" s="37"/>
      <c r="AU429" s="37"/>
      <c r="AV429" s="37"/>
      <c r="AW429" s="37"/>
      <c r="AX429" s="37"/>
      <c r="AY429" s="37"/>
      <c r="AZ429" s="37"/>
      <c r="BA429" s="37"/>
      <c r="BB429" s="37"/>
      <c r="BC429" s="37"/>
      <c r="BD429" s="37"/>
      <c r="BE429" s="37"/>
    </row>
    <row r="430" spans="2:57" s="31" customFormat="1" ht="15.5" x14ac:dyDescent="0.3">
      <c r="B430" s="368" t="s">
        <v>558</v>
      </c>
      <c r="C430" s="160"/>
      <c r="D430" s="84" t="s">
        <v>52</v>
      </c>
      <c r="G430" s="34"/>
      <c r="H430" s="84"/>
      <c r="J430" s="33" t="s">
        <v>382</v>
      </c>
      <c r="K430" s="138">
        <f>IF(ISNUMBER(L430),L430,Muut!$H$30)</f>
        <v>33.857142857142854</v>
      </c>
      <c r="L430" s="63"/>
      <c r="M430" s="41" t="s">
        <v>277</v>
      </c>
      <c r="N430" s="41"/>
      <c r="O430" s="256"/>
      <c r="Q430" s="35"/>
      <c r="R430" s="109" t="str">
        <f>IF(AND(ISNUMBER(K430),ISNUMBER(C430)),K430*C430,"")</f>
        <v/>
      </c>
      <c r="S430" s="102" t="s">
        <v>172</v>
      </c>
      <c r="T430" s="36"/>
      <c r="U430" s="36"/>
      <c r="V430" s="36"/>
      <c r="W430" s="36"/>
      <c r="X430" s="36"/>
      <c r="Y430" s="36"/>
      <c r="Z430" s="36"/>
      <c r="AA430" s="36"/>
      <c r="AB430" s="36"/>
      <c r="AC430" s="36"/>
      <c r="AD430" s="36"/>
      <c r="AE430" s="36"/>
      <c r="AF430" s="36"/>
      <c r="AG430" s="36"/>
      <c r="AH430" s="36"/>
      <c r="AI430" s="36"/>
      <c r="AJ430" s="36"/>
      <c r="AK430" s="36"/>
      <c r="AL430" s="36"/>
      <c r="AM430" s="36"/>
      <c r="AN430" s="37"/>
      <c r="AO430" s="37"/>
      <c r="AP430" s="37"/>
      <c r="AQ430" s="37"/>
      <c r="AR430" s="37"/>
      <c r="AS430" s="37"/>
      <c r="AT430" s="37"/>
      <c r="AU430" s="37"/>
      <c r="AV430" s="37"/>
      <c r="AW430" s="37"/>
      <c r="AX430" s="37"/>
      <c r="AY430" s="37"/>
      <c r="AZ430" s="37"/>
      <c r="BA430" s="37"/>
      <c r="BB430" s="37"/>
      <c r="BC430" s="37"/>
      <c r="BD430" s="37"/>
      <c r="BE430" s="37"/>
    </row>
    <row r="431" spans="2:57" s="31" customFormat="1" ht="15.5" x14ac:dyDescent="0.3">
      <c r="B431" s="170" t="s">
        <v>572</v>
      </c>
      <c r="C431" s="160"/>
      <c r="D431" s="84" t="s">
        <v>8</v>
      </c>
      <c r="E431" s="34"/>
      <c r="F431" s="34"/>
      <c r="G431" s="34"/>
      <c r="H431" s="84"/>
      <c r="J431" s="33" t="s">
        <v>560</v>
      </c>
      <c r="K431" s="96" t="str">
        <f>IF(ISNUMBER(L431),L431,"")</f>
        <v/>
      </c>
      <c r="L431" s="185"/>
      <c r="M431" s="41" t="s">
        <v>277</v>
      </c>
      <c r="N431" s="41"/>
      <c r="O431" s="256"/>
      <c r="Q431" s="35"/>
      <c r="R431" s="109" t="str">
        <f>IF(AND(ISNUMBER(K431),ISNUMBER(C431)),-K431*C431,"")</f>
        <v/>
      </c>
      <c r="S431" s="102" t="s">
        <v>172</v>
      </c>
      <c r="T431" s="135" t="s">
        <v>383</v>
      </c>
      <c r="U431" s="36"/>
      <c r="V431" s="36"/>
      <c r="W431" s="36"/>
      <c r="X431" s="36"/>
      <c r="Y431" s="36"/>
      <c r="Z431" s="36"/>
      <c r="AA431" s="36"/>
      <c r="AB431" s="36"/>
      <c r="AC431" s="36"/>
      <c r="AD431" s="36"/>
      <c r="AE431" s="36"/>
      <c r="AF431" s="36"/>
      <c r="AG431" s="36"/>
      <c r="AH431" s="36"/>
      <c r="AI431" s="36"/>
      <c r="AJ431" s="36"/>
      <c r="AK431" s="36"/>
      <c r="AL431" s="36"/>
      <c r="AM431" s="36"/>
      <c r="AN431" s="37"/>
      <c r="AO431" s="37"/>
      <c r="AP431" s="37"/>
      <c r="AQ431" s="37"/>
      <c r="AR431" s="37"/>
      <c r="AS431" s="37"/>
      <c r="AT431" s="37"/>
      <c r="AU431" s="37"/>
      <c r="AV431" s="37"/>
      <c r="AW431" s="37"/>
      <c r="AX431" s="37"/>
      <c r="AY431" s="37"/>
      <c r="AZ431" s="37"/>
      <c r="BA431" s="37"/>
      <c r="BB431" s="37"/>
      <c r="BC431" s="37"/>
      <c r="BD431" s="37"/>
      <c r="BE431" s="37"/>
    </row>
    <row r="432" spans="2:57" s="31" customFormat="1" ht="15.5" x14ac:dyDescent="0.3">
      <c r="B432" s="170" t="s">
        <v>571</v>
      </c>
      <c r="C432" s="160"/>
      <c r="D432" s="84" t="s">
        <v>8</v>
      </c>
      <c r="E432" s="34"/>
      <c r="F432" s="34"/>
      <c r="G432" s="34"/>
      <c r="H432" s="84"/>
      <c r="J432" s="33" t="s">
        <v>564</v>
      </c>
      <c r="K432" s="96" t="str">
        <f>IF(ISNUMBER(L432),L432,"")</f>
        <v/>
      </c>
      <c r="L432" s="185"/>
      <c r="M432" s="41" t="s">
        <v>277</v>
      </c>
      <c r="N432" s="41"/>
      <c r="O432" s="256"/>
      <c r="Q432" s="35"/>
      <c r="R432" s="109" t="str">
        <f>IF(AND(ISNUMBER(K432),ISNUMBER(C432)),-K432*C432,"")</f>
        <v/>
      </c>
      <c r="S432" s="102" t="s">
        <v>172</v>
      </c>
      <c r="T432" s="135" t="s">
        <v>383</v>
      </c>
      <c r="U432" s="36"/>
      <c r="V432" s="36"/>
      <c r="W432" s="36"/>
      <c r="X432" s="36"/>
      <c r="Y432" s="36"/>
      <c r="Z432" s="36"/>
      <c r="AA432" s="36"/>
      <c r="AB432" s="36"/>
      <c r="AC432" s="36"/>
      <c r="AD432" s="36"/>
      <c r="AE432" s="36"/>
      <c r="AF432" s="36"/>
      <c r="AG432" s="36"/>
      <c r="AH432" s="36"/>
      <c r="AI432" s="36"/>
      <c r="AJ432" s="36"/>
      <c r="AK432" s="36"/>
      <c r="AL432" s="36"/>
      <c r="AM432" s="36"/>
      <c r="AN432" s="37"/>
      <c r="AO432" s="37"/>
      <c r="AP432" s="37"/>
      <c r="AQ432" s="37"/>
      <c r="AR432" s="37"/>
      <c r="AS432" s="37"/>
      <c r="AT432" s="37"/>
      <c r="AU432" s="37"/>
      <c r="AV432" s="37"/>
      <c r="AW432" s="37"/>
      <c r="AX432" s="37"/>
      <c r="AY432" s="37"/>
      <c r="AZ432" s="37"/>
      <c r="BA432" s="37"/>
      <c r="BB432" s="37"/>
      <c r="BC432" s="37"/>
      <c r="BD432" s="37"/>
      <c r="BE432" s="37"/>
    </row>
    <row r="433" spans="2:59" s="31" customFormat="1" ht="15.5" x14ac:dyDescent="0.3">
      <c r="B433" s="368" t="s">
        <v>559</v>
      </c>
      <c r="C433" s="160"/>
      <c r="D433" s="84" t="s">
        <v>52</v>
      </c>
      <c r="G433" s="34"/>
      <c r="H433" s="84"/>
      <c r="J433" s="33" t="s">
        <v>382</v>
      </c>
      <c r="K433" s="138">
        <f>IF(ISNUMBER(L433),L433,Muut!$H$30)</f>
        <v>33.857142857142854</v>
      </c>
      <c r="L433" s="63"/>
      <c r="M433" s="41" t="s">
        <v>277</v>
      </c>
      <c r="N433" s="41"/>
      <c r="O433" s="256"/>
      <c r="Q433" s="35"/>
      <c r="R433" s="109" t="str">
        <f>IF(AND(ISNUMBER(K433),ISNUMBER(C433)),K433*C433,"")</f>
        <v/>
      </c>
      <c r="S433" s="102" t="s">
        <v>172</v>
      </c>
      <c r="T433" s="36"/>
      <c r="U433" s="36"/>
      <c r="V433" s="36"/>
      <c r="W433" s="36"/>
      <c r="X433" s="36"/>
      <c r="Y433" s="36"/>
      <c r="Z433" s="36"/>
      <c r="AA433" s="36"/>
      <c r="AB433" s="36"/>
      <c r="AC433" s="36"/>
      <c r="AD433" s="36"/>
      <c r="AE433" s="36"/>
      <c r="AF433" s="36"/>
      <c r="AG433" s="36"/>
      <c r="AH433" s="36"/>
      <c r="AI433" s="36"/>
      <c r="AJ433" s="36"/>
      <c r="AK433" s="36"/>
      <c r="AL433" s="36"/>
      <c r="AM433" s="36"/>
      <c r="AN433" s="37"/>
      <c r="AO433" s="37"/>
      <c r="AP433" s="37"/>
      <c r="AQ433" s="37"/>
      <c r="AR433" s="37"/>
      <c r="AS433" s="37"/>
      <c r="AT433" s="37"/>
      <c r="AU433" s="37"/>
      <c r="AV433" s="37"/>
      <c r="AW433" s="37"/>
      <c r="AX433" s="37"/>
      <c r="AY433" s="37"/>
      <c r="AZ433" s="37"/>
      <c r="BA433" s="37"/>
      <c r="BB433" s="37"/>
      <c r="BC433" s="37"/>
      <c r="BD433" s="37"/>
      <c r="BE433" s="37"/>
    </row>
    <row r="434" spans="2:59" s="31" customFormat="1" ht="15.5" x14ac:dyDescent="0.3">
      <c r="B434" s="170" t="s">
        <v>572</v>
      </c>
      <c r="C434" s="160"/>
      <c r="D434" s="84" t="s">
        <v>8</v>
      </c>
      <c r="E434" s="34"/>
      <c r="F434" s="34"/>
      <c r="G434" s="34"/>
      <c r="H434" s="84"/>
      <c r="J434" s="33" t="s">
        <v>560</v>
      </c>
      <c r="K434" s="96" t="str">
        <f>IF(ISNUMBER(L434),L434,"")</f>
        <v/>
      </c>
      <c r="L434" s="185"/>
      <c r="M434" s="41" t="s">
        <v>277</v>
      </c>
      <c r="N434" s="41"/>
      <c r="O434" s="256"/>
      <c r="Q434" s="35"/>
      <c r="R434" s="109" t="str">
        <f>IF(AND(ISNUMBER(K434),ISNUMBER(C434)),-K434*C434,"")</f>
        <v/>
      </c>
      <c r="S434" s="102" t="s">
        <v>172</v>
      </c>
      <c r="T434" s="135" t="s">
        <v>383</v>
      </c>
      <c r="U434" s="36"/>
      <c r="V434" s="36"/>
      <c r="W434" s="36"/>
      <c r="X434" s="36"/>
      <c r="Y434" s="36"/>
      <c r="Z434" s="36"/>
      <c r="AA434" s="36"/>
      <c r="AB434" s="36"/>
      <c r="AC434" s="36"/>
      <c r="AD434" s="36"/>
      <c r="AE434" s="36"/>
      <c r="AF434" s="36"/>
      <c r="AG434" s="36"/>
      <c r="AH434" s="36"/>
      <c r="AI434" s="36"/>
      <c r="AJ434" s="36"/>
      <c r="AK434" s="36"/>
      <c r="AL434" s="36"/>
      <c r="AM434" s="36"/>
      <c r="AN434" s="37"/>
      <c r="AO434" s="37"/>
      <c r="AP434" s="37"/>
      <c r="AQ434" s="37"/>
      <c r="AR434" s="37"/>
      <c r="AS434" s="37"/>
      <c r="AT434" s="37"/>
      <c r="AU434" s="37"/>
      <c r="AV434" s="37"/>
      <c r="AW434" s="37"/>
      <c r="AX434" s="37"/>
      <c r="AY434" s="37"/>
      <c r="AZ434" s="37"/>
      <c r="BA434" s="37"/>
      <c r="BB434" s="37"/>
      <c r="BC434" s="37"/>
      <c r="BD434" s="37"/>
      <c r="BE434" s="37"/>
    </row>
    <row r="435" spans="2:59" s="31" customFormat="1" ht="15.5" x14ac:dyDescent="0.3">
      <c r="B435" s="170" t="s">
        <v>571</v>
      </c>
      <c r="C435" s="160"/>
      <c r="D435" s="84" t="s">
        <v>8</v>
      </c>
      <c r="E435" s="34"/>
      <c r="F435" s="34"/>
      <c r="G435" s="34"/>
      <c r="H435" s="84"/>
      <c r="J435" s="33" t="s">
        <v>564</v>
      </c>
      <c r="K435" s="96" t="str">
        <f>IF(ISNUMBER(L435),L435,"")</f>
        <v/>
      </c>
      <c r="L435" s="185"/>
      <c r="M435" s="41" t="s">
        <v>277</v>
      </c>
      <c r="N435" s="41"/>
      <c r="O435" s="256"/>
      <c r="Q435" s="35"/>
      <c r="R435" s="109" t="str">
        <f>IF(AND(ISNUMBER(K435),ISNUMBER(C435)),-K435*C435,"")</f>
        <v/>
      </c>
      <c r="S435" s="102" t="s">
        <v>172</v>
      </c>
      <c r="T435" s="135" t="s">
        <v>383</v>
      </c>
      <c r="U435" s="36"/>
      <c r="V435" s="36"/>
      <c r="W435" s="36"/>
      <c r="X435" s="36"/>
      <c r="Y435" s="36"/>
      <c r="Z435" s="36"/>
      <c r="AA435" s="36"/>
      <c r="AB435" s="36"/>
      <c r="AC435" s="36"/>
      <c r="AD435" s="36"/>
      <c r="AE435" s="36"/>
      <c r="AF435" s="36"/>
      <c r="AG435" s="36"/>
      <c r="AH435" s="36"/>
      <c r="AI435" s="36"/>
      <c r="AJ435" s="36"/>
      <c r="AK435" s="36"/>
      <c r="AL435" s="36"/>
      <c r="AM435" s="36"/>
      <c r="AN435" s="37"/>
      <c r="AO435" s="37"/>
      <c r="AP435" s="37"/>
      <c r="AQ435" s="37"/>
      <c r="AR435" s="37"/>
      <c r="AS435" s="37"/>
      <c r="AT435" s="37"/>
      <c r="AU435" s="37"/>
      <c r="AV435" s="37"/>
      <c r="AW435" s="37"/>
      <c r="AX435" s="37"/>
      <c r="AY435" s="37"/>
      <c r="AZ435" s="37"/>
      <c r="BA435" s="37"/>
      <c r="BB435" s="37"/>
      <c r="BC435" s="37"/>
      <c r="BD435" s="37"/>
      <c r="BE435" s="37"/>
    </row>
    <row r="436" spans="2:59" s="31" customFormat="1" ht="15.5" x14ac:dyDescent="0.3">
      <c r="C436" s="34"/>
      <c r="D436" s="84"/>
      <c r="G436" s="34"/>
      <c r="H436" s="84"/>
      <c r="J436" s="33"/>
      <c r="K436" s="34"/>
      <c r="L436" s="34"/>
      <c r="M436" s="84"/>
      <c r="N436" s="84"/>
      <c r="O436" s="257"/>
      <c r="Q436" s="35"/>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7"/>
      <c r="AO436" s="37"/>
      <c r="AP436" s="37"/>
      <c r="AQ436" s="37"/>
      <c r="AR436" s="37"/>
      <c r="AS436" s="37"/>
      <c r="AT436" s="37"/>
      <c r="AU436" s="37"/>
      <c r="AV436" s="37"/>
      <c r="AW436" s="37"/>
      <c r="AX436" s="37"/>
      <c r="AY436" s="37"/>
      <c r="AZ436" s="37"/>
      <c r="BA436" s="37"/>
      <c r="BB436" s="37"/>
      <c r="BC436" s="37"/>
      <c r="BD436" s="37"/>
      <c r="BE436" s="37"/>
    </row>
    <row r="437" spans="2:59" s="31" customFormat="1" ht="15.5" x14ac:dyDescent="0.3">
      <c r="B437" s="9" t="s">
        <v>11</v>
      </c>
      <c r="C437" s="34"/>
      <c r="D437" s="84"/>
      <c r="G437" s="34"/>
      <c r="H437" s="84"/>
      <c r="J437" s="33"/>
      <c r="K437" s="38"/>
      <c r="L437" s="38"/>
      <c r="M437" s="84"/>
      <c r="N437" s="84"/>
      <c r="O437" s="257"/>
      <c r="Q437" s="35"/>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7"/>
      <c r="AO437" s="37"/>
      <c r="AP437" s="37"/>
      <c r="AQ437" s="37"/>
      <c r="AR437" s="37"/>
      <c r="AS437" s="37"/>
      <c r="AT437" s="37"/>
      <c r="AU437" s="37"/>
      <c r="AV437" s="37"/>
      <c r="AW437" s="37"/>
      <c r="AX437" s="37"/>
      <c r="AY437" s="37"/>
      <c r="AZ437" s="37"/>
      <c r="BA437" s="37"/>
      <c r="BB437" s="37"/>
      <c r="BC437" s="37"/>
      <c r="BD437" s="37"/>
      <c r="BE437" s="37"/>
    </row>
    <row r="438" spans="2:59" s="31" customFormat="1" ht="15.5" x14ac:dyDescent="0.3">
      <c r="B438" s="9"/>
      <c r="C438" s="34"/>
      <c r="D438" s="84"/>
      <c r="G438" s="34"/>
      <c r="H438" s="84"/>
      <c r="J438" s="33"/>
      <c r="K438" s="38" t="s">
        <v>329</v>
      </c>
      <c r="L438" s="38" t="s">
        <v>201</v>
      </c>
      <c r="M438" s="84"/>
      <c r="N438" s="84"/>
      <c r="O438" s="257"/>
      <c r="Q438" s="35"/>
      <c r="R438" s="36" t="s">
        <v>350</v>
      </c>
      <c r="S438" s="36"/>
      <c r="T438" s="36"/>
      <c r="U438" s="36"/>
      <c r="V438" s="36"/>
      <c r="W438" s="36"/>
      <c r="X438" s="36"/>
      <c r="Y438" s="36"/>
      <c r="Z438" s="36"/>
      <c r="AA438" s="36"/>
      <c r="AB438" s="36"/>
      <c r="AC438" s="36"/>
      <c r="AD438" s="36"/>
      <c r="AE438" s="36"/>
      <c r="AF438" s="36"/>
      <c r="AG438" s="36"/>
      <c r="AH438" s="36"/>
      <c r="AI438" s="36"/>
      <c r="AJ438" s="36"/>
      <c r="AK438" s="36"/>
      <c r="AL438" s="36"/>
      <c r="AM438" s="36"/>
      <c r="AN438" s="37"/>
      <c r="AO438" s="37"/>
      <c r="AP438" s="37"/>
      <c r="AQ438" s="37"/>
      <c r="AR438" s="37"/>
      <c r="AS438" s="37"/>
      <c r="AT438" s="37"/>
      <c r="AU438" s="37"/>
      <c r="AV438" s="37"/>
      <c r="AW438" s="37"/>
      <c r="AX438" s="37"/>
      <c r="AY438" s="37"/>
      <c r="AZ438" s="37"/>
      <c r="BA438" s="37"/>
      <c r="BB438" s="37"/>
      <c r="BC438" s="37"/>
      <c r="BD438" s="37"/>
      <c r="BE438" s="37"/>
    </row>
    <row r="439" spans="2:59" s="31" customFormat="1" ht="31" x14ac:dyDescent="0.3">
      <c r="B439" s="78" t="s">
        <v>595</v>
      </c>
      <c r="C439" s="160"/>
      <c r="D439" s="84" t="s">
        <v>175</v>
      </c>
      <c r="G439" s="34"/>
      <c r="H439" s="84"/>
      <c r="J439" s="33" t="s">
        <v>565</v>
      </c>
      <c r="K439" s="96">
        <f>IF(ISNUMBER(L439),L439,Muut!$H$28*IF(OR(C440=Pudotusvalikot!$V$3,C440=Pudotusvalikot!$V$4),Muut!$E$38,IF(C440=Pudotusvalikot!$V$5,Muut!$E$39,IF(C440=Pudotusvalikot!$V$6,Muut!$E$40,Muut!$E$41))))</f>
        <v>0.22753333333333334</v>
      </c>
      <c r="L439" s="63"/>
      <c r="M439" s="41" t="s">
        <v>226</v>
      </c>
      <c r="N439" s="41"/>
      <c r="O439" s="256"/>
      <c r="Q439" s="35"/>
      <c r="R439" s="109" t="str">
        <f>IF(AND(ISNUMBER(K439),ISNUMBER(C439)),K439*C439,"")</f>
        <v/>
      </c>
      <c r="S439" s="102" t="s">
        <v>172</v>
      </c>
      <c r="T439" s="61"/>
      <c r="U439" s="61"/>
      <c r="V439" s="61"/>
      <c r="W439" s="36"/>
      <c r="X439" s="36"/>
      <c r="Y439" s="36"/>
      <c r="Z439" s="36"/>
      <c r="AA439" s="36"/>
      <c r="AB439" s="36"/>
      <c r="AC439" s="36"/>
      <c r="AD439" s="36"/>
      <c r="AE439" s="36"/>
      <c r="AF439" s="36"/>
      <c r="AG439" s="36"/>
      <c r="AH439" s="36"/>
      <c r="AI439" s="36"/>
      <c r="AJ439" s="36"/>
      <c r="AK439" s="36"/>
      <c r="AL439" s="36"/>
      <c r="AM439" s="36"/>
      <c r="AN439" s="37"/>
      <c r="AO439" s="37"/>
      <c r="AP439" s="37"/>
      <c r="AQ439" s="37"/>
      <c r="AR439" s="37"/>
      <c r="AS439" s="37"/>
      <c r="AT439" s="37"/>
      <c r="AU439" s="37"/>
      <c r="AV439" s="37"/>
      <c r="AW439" s="37"/>
      <c r="AX439" s="37"/>
      <c r="AY439" s="37"/>
      <c r="AZ439" s="37"/>
      <c r="BA439" s="37"/>
      <c r="BB439" s="37"/>
      <c r="BC439" s="37"/>
      <c r="BD439" s="37"/>
      <c r="BE439" s="37"/>
    </row>
    <row r="440" spans="2:59" s="31" customFormat="1" ht="15.5" x14ac:dyDescent="0.3">
      <c r="B440" s="170" t="s">
        <v>509</v>
      </c>
      <c r="C440" s="160" t="s">
        <v>242</v>
      </c>
      <c r="D440" s="34"/>
      <c r="E440" s="34"/>
      <c r="F440" s="34"/>
      <c r="G440" s="34"/>
      <c r="H440" s="59"/>
      <c r="J440" s="173"/>
      <c r="K440" s="173"/>
      <c r="L440" s="173"/>
      <c r="M440" s="41"/>
      <c r="N440" s="41"/>
      <c r="O440" s="256"/>
      <c r="Q440" s="47"/>
      <c r="R440" s="61"/>
      <c r="S440" s="102"/>
      <c r="T440" s="36"/>
      <c r="U440" s="36"/>
      <c r="V440" s="181"/>
      <c r="W440" s="181"/>
      <c r="X440" s="61"/>
      <c r="Y440" s="36"/>
      <c r="Z440" s="61"/>
      <c r="AA440" s="182"/>
      <c r="AB440" s="61"/>
      <c r="AC440" s="61"/>
      <c r="AD440" s="61"/>
      <c r="AE440" s="61"/>
      <c r="AF440" s="182"/>
      <c r="AG440" s="61"/>
      <c r="AH440" s="36"/>
      <c r="AI440" s="36"/>
      <c r="AJ440" s="36"/>
      <c r="AK440" s="108"/>
      <c r="AL440" s="36"/>
      <c r="AM440" s="36"/>
      <c r="AN440" s="37"/>
      <c r="AO440" s="37"/>
      <c r="AP440" s="37"/>
      <c r="AQ440" s="37"/>
      <c r="AR440" s="37"/>
      <c r="AS440" s="37"/>
      <c r="AT440" s="37"/>
      <c r="AU440" s="37"/>
      <c r="AV440" s="37"/>
      <c r="AW440" s="37"/>
      <c r="AX440" s="37"/>
      <c r="AY440" s="37"/>
      <c r="AZ440" s="37"/>
      <c r="BA440" s="37"/>
      <c r="BB440" s="37"/>
      <c r="BC440" s="37"/>
      <c r="BD440" s="37"/>
      <c r="BE440" s="37"/>
    </row>
    <row r="441" spans="2:59" s="31" customFormat="1" ht="46.5" x14ac:dyDescent="0.3">
      <c r="B441" s="78" t="s">
        <v>596</v>
      </c>
      <c r="C441" s="160"/>
      <c r="D441" s="84" t="s">
        <v>175</v>
      </c>
      <c r="G441" s="34"/>
      <c r="H441" s="84"/>
      <c r="J441" s="33" t="s">
        <v>522</v>
      </c>
      <c r="K441" s="138">
        <f>IF(ISNUMBER(L441),L441,Muut!$H$29)</f>
        <v>9.4500000000000011</v>
      </c>
      <c r="L441" s="185"/>
      <c r="M441" s="41" t="s">
        <v>226</v>
      </c>
      <c r="N441" s="41"/>
      <c r="O441" s="256"/>
      <c r="Q441" s="35"/>
      <c r="R441" s="109" t="str">
        <f>IF(AND(ISNUMBER(K441),ISNUMBER(C441)),K441*C441,"")</f>
        <v/>
      </c>
      <c r="S441" s="102" t="s">
        <v>172</v>
      </c>
      <c r="T441" s="36"/>
      <c r="U441" s="36"/>
      <c r="V441" s="36"/>
      <c r="W441" s="36"/>
      <c r="X441" s="36"/>
      <c r="Y441" s="36"/>
      <c r="Z441" s="36"/>
      <c r="AA441" s="36"/>
      <c r="AB441" s="36"/>
      <c r="AC441" s="36"/>
      <c r="AD441" s="36"/>
      <c r="AE441" s="36"/>
      <c r="AF441" s="36"/>
      <c r="AG441" s="36"/>
      <c r="AH441" s="36"/>
      <c r="AI441" s="36"/>
      <c r="AJ441" s="36"/>
      <c r="AK441" s="36"/>
      <c r="AL441" s="36"/>
      <c r="AM441" s="36"/>
      <c r="AN441" s="37"/>
      <c r="AO441" s="37"/>
      <c r="AP441" s="37"/>
      <c r="AQ441" s="37"/>
      <c r="AR441" s="37"/>
      <c r="AS441" s="37"/>
      <c r="AT441" s="37"/>
      <c r="AU441" s="37"/>
      <c r="AV441" s="37"/>
      <c r="AW441" s="37"/>
      <c r="AX441" s="37"/>
      <c r="AY441" s="37"/>
      <c r="AZ441" s="37"/>
      <c r="BA441" s="37"/>
      <c r="BB441" s="37"/>
      <c r="BC441" s="37"/>
      <c r="BD441" s="37"/>
      <c r="BE441" s="37"/>
    </row>
    <row r="442" spans="2:59" s="31" customFormat="1" ht="15.5" x14ac:dyDescent="0.3">
      <c r="B442" s="170" t="s">
        <v>572</v>
      </c>
      <c r="C442" s="160"/>
      <c r="D442" s="84" t="s">
        <v>8</v>
      </c>
      <c r="E442" s="34"/>
      <c r="F442" s="34"/>
      <c r="G442" s="34"/>
      <c r="H442" s="84"/>
      <c r="J442" s="33" t="s">
        <v>523</v>
      </c>
      <c r="K442" s="112">
        <f>IF(ISNUMBER(L442),L442,Muut!$H$31)</f>
        <v>9.4500000000000011</v>
      </c>
      <c r="L442" s="185"/>
      <c r="M442" s="41" t="s">
        <v>226</v>
      </c>
      <c r="N442" s="41"/>
      <c r="O442" s="256"/>
      <c r="Q442" s="35"/>
      <c r="R442" s="109" t="str">
        <f>IF(AND(ISNUMBER(K442),ISNUMBER(C441)),-K442*C441,"")</f>
        <v/>
      </c>
      <c r="S442" s="102" t="s">
        <v>172</v>
      </c>
      <c r="T442" s="102" t="s">
        <v>524</v>
      </c>
      <c r="U442" s="36"/>
      <c r="V442" s="36"/>
      <c r="W442" s="36"/>
      <c r="X442" s="36"/>
      <c r="Y442" s="36"/>
      <c r="Z442" s="36"/>
      <c r="AA442" s="36"/>
      <c r="AB442" s="36"/>
      <c r="AC442" s="36"/>
      <c r="AD442" s="36"/>
      <c r="AE442" s="36"/>
      <c r="AF442" s="36"/>
      <c r="AG442" s="36"/>
      <c r="AH442" s="36"/>
      <c r="AI442" s="36"/>
      <c r="AJ442" s="36"/>
      <c r="AK442" s="36"/>
      <c r="AL442" s="36"/>
      <c r="AM442" s="36"/>
      <c r="AN442" s="37"/>
      <c r="AO442" s="37"/>
      <c r="AP442" s="37"/>
      <c r="AQ442" s="37"/>
      <c r="AR442" s="37"/>
      <c r="AS442" s="37"/>
      <c r="AT442" s="37"/>
      <c r="AU442" s="37"/>
      <c r="AV442" s="37"/>
      <c r="AW442" s="37"/>
      <c r="AX442" s="37"/>
      <c r="AY442" s="37"/>
      <c r="AZ442" s="37"/>
      <c r="BA442" s="37"/>
      <c r="BB442" s="37"/>
      <c r="BC442" s="37"/>
      <c r="BD442" s="37"/>
      <c r="BE442" s="37"/>
    </row>
    <row r="443" spans="2:59" s="31" customFormat="1" ht="15.5" x14ac:dyDescent="0.3">
      <c r="B443" s="75"/>
      <c r="C443" s="34"/>
      <c r="D443" s="84"/>
      <c r="G443" s="34"/>
      <c r="H443" s="84"/>
      <c r="J443" s="33"/>
      <c r="P443" s="69"/>
      <c r="Q443" s="108"/>
      <c r="R443" s="98"/>
      <c r="S443" s="108"/>
      <c r="T443" s="37"/>
      <c r="U443" s="36"/>
      <c r="V443" s="36"/>
      <c r="W443" s="36"/>
      <c r="X443" s="36"/>
      <c r="Y443" s="36"/>
      <c r="Z443" s="36"/>
      <c r="AA443" s="36"/>
      <c r="AB443" s="36"/>
      <c r="AC443" s="36"/>
      <c r="AD443" s="36"/>
      <c r="AE443" s="36"/>
      <c r="AF443" s="36"/>
      <c r="AG443" s="36"/>
      <c r="AH443" s="36"/>
      <c r="AI443" s="36"/>
      <c r="AJ443" s="36"/>
      <c r="AK443" s="36"/>
      <c r="AL443" s="36"/>
      <c r="AM443" s="36"/>
      <c r="AN443" s="36"/>
      <c r="AO443" s="36"/>
      <c r="AP443" s="37"/>
      <c r="AQ443" s="37"/>
      <c r="AR443" s="37"/>
      <c r="AS443" s="37"/>
      <c r="AT443" s="37"/>
      <c r="AU443" s="37"/>
      <c r="AV443" s="37"/>
      <c r="AW443" s="37"/>
      <c r="AX443" s="37"/>
      <c r="AY443" s="37"/>
      <c r="AZ443" s="37"/>
      <c r="BA443" s="37"/>
      <c r="BB443" s="37"/>
      <c r="BC443" s="37"/>
      <c r="BD443" s="37"/>
      <c r="BE443" s="37"/>
      <c r="BF443" s="37"/>
      <c r="BG443" s="37"/>
    </row>
    <row r="444" spans="2:59" s="196" customFormat="1" ht="23" x14ac:dyDescent="0.3">
      <c r="B444" s="197" t="s">
        <v>733</v>
      </c>
      <c r="C444" s="198"/>
      <c r="D444" s="199"/>
      <c r="G444" s="198"/>
      <c r="H444" s="199"/>
      <c r="J444" s="200"/>
      <c r="P444" s="201"/>
      <c r="Q444" s="202"/>
      <c r="R444" s="203"/>
      <c r="S444" s="202"/>
      <c r="T444" s="204"/>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4"/>
      <c r="AQ444" s="204"/>
      <c r="AR444" s="204"/>
      <c r="AS444" s="204"/>
      <c r="AT444" s="204"/>
      <c r="AU444" s="204"/>
      <c r="AV444" s="204"/>
      <c r="AW444" s="204"/>
      <c r="AX444" s="204"/>
      <c r="AY444" s="204"/>
      <c r="AZ444" s="204"/>
      <c r="BA444" s="204"/>
      <c r="BB444" s="204"/>
      <c r="BC444" s="204"/>
      <c r="BD444" s="204"/>
      <c r="BE444" s="204"/>
      <c r="BF444" s="204"/>
      <c r="BG444" s="204"/>
    </row>
    <row r="445" spans="2:59" s="31" customFormat="1" ht="15.5" x14ac:dyDescent="0.3">
      <c r="C445" s="34"/>
      <c r="D445" s="84"/>
      <c r="G445" s="34"/>
      <c r="H445" s="84"/>
      <c r="O445" s="171"/>
      <c r="P445" s="69"/>
      <c r="Q445" s="108"/>
      <c r="R445" s="98"/>
      <c r="S445" s="108"/>
      <c r="T445" s="37"/>
      <c r="U445" s="36"/>
      <c r="V445" s="36"/>
      <c r="W445" s="36"/>
      <c r="X445" s="36"/>
      <c r="Y445" s="36"/>
      <c r="Z445" s="36"/>
      <c r="AA445" s="36"/>
      <c r="AB445" s="36"/>
      <c r="AC445" s="36"/>
      <c r="AD445" s="36"/>
      <c r="AE445" s="36"/>
      <c r="AF445" s="36"/>
      <c r="AG445" s="36"/>
      <c r="AH445" s="36"/>
      <c r="AI445" s="36"/>
      <c r="AJ445" s="36"/>
      <c r="AK445" s="36"/>
      <c r="AL445" s="36"/>
      <c r="AM445" s="36"/>
      <c r="AN445" s="36"/>
      <c r="AO445" s="36"/>
      <c r="AP445" s="37"/>
      <c r="AQ445" s="37"/>
      <c r="AR445" s="37"/>
      <c r="AS445" s="37"/>
      <c r="AT445" s="37"/>
      <c r="AU445" s="37"/>
      <c r="AV445" s="37"/>
      <c r="AW445" s="37"/>
      <c r="AX445" s="37"/>
      <c r="AY445" s="37"/>
      <c r="AZ445" s="37"/>
      <c r="BA445" s="37"/>
      <c r="BB445" s="37"/>
      <c r="BC445" s="37"/>
      <c r="BD445" s="37"/>
      <c r="BE445" s="37"/>
      <c r="BF445" s="37"/>
      <c r="BG445" s="37"/>
    </row>
    <row r="446" spans="2:59" s="298" customFormat="1" ht="18" x14ac:dyDescent="0.3">
      <c r="B446" s="295" t="s">
        <v>42</v>
      </c>
      <c r="C446" s="296"/>
      <c r="D446" s="297"/>
      <c r="G446" s="296"/>
      <c r="H446" s="297"/>
      <c r="K446" s="299"/>
      <c r="L446" s="299"/>
      <c r="M446" s="297"/>
      <c r="N446" s="297"/>
      <c r="O446" s="300"/>
      <c r="Q446" s="301"/>
      <c r="R446" s="302" t="str">
        <f>IF(OR(ISNUMBER(#REF!),ISNUMBER(#REF!),ISNUMBER(#REF!)),SUM(#REF!,#REF!,#REF!),"")</f>
        <v/>
      </c>
      <c r="S446" s="303"/>
      <c r="T446" s="303"/>
      <c r="U446" s="303"/>
      <c r="V446" s="303"/>
      <c r="W446" s="303"/>
      <c r="X446" s="303"/>
      <c r="Y446" s="303"/>
      <c r="Z446" s="303"/>
      <c r="AA446" s="303"/>
      <c r="AB446" s="303"/>
      <c r="AC446" s="303"/>
      <c r="AD446" s="303"/>
      <c r="AE446" s="303"/>
      <c r="AF446" s="303"/>
      <c r="AG446" s="303"/>
      <c r="AH446" s="303"/>
      <c r="AI446" s="303"/>
      <c r="AJ446" s="303"/>
      <c r="AK446" s="303"/>
      <c r="AL446" s="303"/>
      <c r="AM446" s="303"/>
      <c r="AN446" s="304"/>
      <c r="AO446" s="304"/>
      <c r="AP446" s="304"/>
      <c r="AQ446" s="304"/>
      <c r="AR446" s="304"/>
      <c r="AS446" s="304"/>
      <c r="AT446" s="304"/>
      <c r="AU446" s="304"/>
      <c r="AV446" s="304"/>
      <c r="AW446" s="304"/>
      <c r="AX446" s="304"/>
      <c r="AY446" s="304"/>
      <c r="AZ446" s="304"/>
      <c r="BA446" s="304"/>
      <c r="BB446" s="304"/>
      <c r="BC446" s="304"/>
      <c r="BD446" s="304"/>
      <c r="BE446" s="304"/>
    </row>
    <row r="447" spans="2:59" s="31" customFormat="1" ht="15.5" x14ac:dyDescent="0.3">
      <c r="B447" s="9"/>
      <c r="C447" s="34"/>
      <c r="D447" s="84"/>
      <c r="G447" s="34" t="s">
        <v>43</v>
      </c>
      <c r="H447" s="84"/>
      <c r="K447" s="38" t="s">
        <v>329</v>
      </c>
      <c r="L447" s="38" t="s">
        <v>201</v>
      </c>
      <c r="M447" s="84"/>
      <c r="N447" s="84"/>
      <c r="O447" s="255" t="s">
        <v>644</v>
      </c>
      <c r="Q447" s="35"/>
      <c r="R447" s="36" t="s">
        <v>350</v>
      </c>
      <c r="S447" s="36"/>
      <c r="T447" s="36" t="s">
        <v>267</v>
      </c>
      <c r="U447" s="36" t="s">
        <v>268</v>
      </c>
      <c r="V447" s="36" t="s">
        <v>269</v>
      </c>
      <c r="W447" s="36" t="s">
        <v>272</v>
      </c>
      <c r="X447" s="36" t="s">
        <v>270</v>
      </c>
      <c r="Y447" s="36" t="s">
        <v>271</v>
      </c>
      <c r="Z447" s="36" t="s">
        <v>273</v>
      </c>
      <c r="AA447" s="108"/>
      <c r="AB447" s="36"/>
      <c r="AC447" s="36"/>
      <c r="AD447" s="36"/>
      <c r="AE447" s="36"/>
      <c r="AF447" s="36"/>
      <c r="AG447" s="36"/>
      <c r="AH447" s="36"/>
      <c r="AI447" s="36"/>
      <c r="AJ447" s="36"/>
      <c r="AK447" s="36"/>
      <c r="AL447" s="36"/>
      <c r="AM447" s="36"/>
      <c r="AN447" s="37"/>
      <c r="AO447" s="37"/>
      <c r="AP447" s="37"/>
      <c r="AQ447" s="37"/>
      <c r="AR447" s="37"/>
      <c r="AS447" s="37"/>
      <c r="AT447" s="37"/>
      <c r="AU447" s="37"/>
      <c r="AV447" s="37"/>
      <c r="AW447" s="37"/>
      <c r="AX447" s="37"/>
      <c r="AY447" s="37"/>
      <c r="AZ447" s="37"/>
      <c r="BA447" s="37"/>
      <c r="BB447" s="37"/>
      <c r="BC447" s="37"/>
      <c r="BD447" s="37"/>
      <c r="BE447" s="37"/>
    </row>
    <row r="448" spans="2:59" s="31" customFormat="1" ht="15.5" x14ac:dyDescent="0.3">
      <c r="B448" s="54" t="s">
        <v>578</v>
      </c>
      <c r="C448" s="160"/>
      <c r="D448" s="84" t="s">
        <v>234</v>
      </c>
      <c r="G448" s="160"/>
      <c r="H448" s="84" t="s">
        <v>44</v>
      </c>
      <c r="J448" s="33" t="s">
        <v>566</v>
      </c>
      <c r="K448" s="112">
        <f>IF(ISNUMBER(L448),L448,IF(C450=Pudotusvalikot!$J$4,Kalusto!$E$98,IF(C450=Pudotusvalikot!$J$5,Kalusto!$E$99,IF(C450=Pudotusvalikot!$J$6,Kalusto!$E$100,IF(C450=Pudotusvalikot!$J$7,Kalusto!$E$101,IF(C450=Pudotusvalikot!$J$8,Kalusto!$E$102,IF(C450=Pudotusvalikot!$J$9,Kalusto!$E$103,IF(C450=Pudotusvalikot!$J$11,Kalusto!$E$104,Kalusto!$E$98))))))))</f>
        <v>5.5</v>
      </c>
      <c r="L448" s="63"/>
      <c r="M448" s="77" t="str">
        <f>IF(C450=Pudotusvalikot!$J$9,"kWh/100 km",IF(C450=Pudotusvalikot!$J$6,"kg/100 km","l/100 km"))</f>
        <v>l/100 km</v>
      </c>
      <c r="N448" s="77"/>
      <c r="O448" s="256"/>
      <c r="Q448" s="35"/>
      <c r="R448" s="109">
        <f>SUM(U448:Z448)</f>
        <v>0</v>
      </c>
      <c r="S448" s="102" t="s">
        <v>172</v>
      </c>
      <c r="T448" s="48">
        <f>IF(ISNUMBER(C449*C448*G448),C449*C448*G448,"")</f>
        <v>0</v>
      </c>
      <c r="U448" s="50">
        <f>IF(ISNUMBER(T448),IF(C450=Pudotusvalikot!$J$5,(Muut!$H$15+Muut!$H$18)*(T448*K448/100),0),"")</f>
        <v>0</v>
      </c>
      <c r="V448" s="50">
        <f>IF(ISNUMBER(T448),IF(C450=Pudotusvalikot!$J$4,(Muut!$H$14+Muut!$H$17)*(T448*K448/100),0),"")</f>
        <v>0</v>
      </c>
      <c r="W448" s="50">
        <f>IF(ISNUMBER(T448),IF(C450=Pudotusvalikot!$J$6,(Muut!$H$16+Muut!$H$19)*(T448*K448/100),0),"")</f>
        <v>0</v>
      </c>
      <c r="X448" s="50">
        <f>IF(ISNUMBER(T448),IF(C450=Pudotusvalikot!$J$7,((Muut!$H$15+Muut!$H$18)*(100%-Kalusto!$O$101)+(Muut!$H$14+Muut!$H$17)*Kalusto!$O$101)*(T448*K448/100),0),"")</f>
        <v>0</v>
      </c>
      <c r="Y448" s="74">
        <f>IF(ISNUMBER(T448),IF(C450=Pudotusvalikot!$J$8,((Kalusto!$K$102)*(100%-Kalusto!$O$102)+(Kalusto!$M$102)*Kalusto!$O$102)*(Muut!$H$13+Muut!$H$12)/100*T448/1000+((Kalusto!$G$102)*(100%-Kalusto!$O$102)+(Kalusto!$I$102)*Kalusto!$O$102)*(K448+Muut!$H$18)/100*T448,0),"")</f>
        <v>0</v>
      </c>
      <c r="Z448" s="74">
        <f>IF(ISNUMBER(T448),IF(C450=Pudotusvalikot!$J$9,Kalusto!$E$103*(K448+Muut!$H$12)/100*T448/1000,0),"")</f>
        <v>0</v>
      </c>
      <c r="AA448" s="108"/>
      <c r="AB448" s="36"/>
      <c r="AC448" s="36"/>
      <c r="AD448" s="36"/>
      <c r="AE448" s="36"/>
      <c r="AF448" s="36"/>
      <c r="AG448" s="36"/>
      <c r="AH448" s="36"/>
      <c r="AI448" s="36"/>
      <c r="AJ448" s="36"/>
      <c r="AK448" s="36"/>
      <c r="AL448" s="36"/>
      <c r="AM448" s="36"/>
      <c r="AN448" s="37"/>
      <c r="AO448" s="37"/>
      <c r="AP448" s="37"/>
      <c r="AQ448" s="37"/>
      <c r="AR448" s="37"/>
      <c r="AS448" s="37"/>
      <c r="AT448" s="37"/>
      <c r="AU448" s="37"/>
      <c r="AV448" s="37"/>
      <c r="AW448" s="37"/>
      <c r="AX448" s="37"/>
      <c r="AY448" s="37"/>
      <c r="AZ448" s="37"/>
      <c r="BA448" s="37"/>
      <c r="BB448" s="37"/>
      <c r="BC448" s="37"/>
      <c r="BD448" s="37"/>
      <c r="BE448" s="37"/>
    </row>
    <row r="449" spans="2:59" s="31" customFormat="1" ht="15.5" x14ac:dyDescent="0.3">
      <c r="B449" s="54" t="s">
        <v>577</v>
      </c>
      <c r="C449" s="161"/>
      <c r="D449" s="84" t="s">
        <v>5</v>
      </c>
      <c r="G449" s="34"/>
      <c r="H449" s="84"/>
      <c r="J449" s="33"/>
      <c r="K449" s="34"/>
      <c r="L449" s="34"/>
      <c r="M449" s="84"/>
      <c r="N449" s="84"/>
      <c r="O449" s="257"/>
      <c r="Q449" s="35"/>
      <c r="R449" s="99"/>
      <c r="S449" s="36"/>
      <c r="T449" s="36"/>
      <c r="U449" s="36"/>
      <c r="V449" s="36"/>
      <c r="W449" s="36"/>
      <c r="X449" s="36"/>
      <c r="Y449" s="36"/>
      <c r="Z449" s="36"/>
      <c r="AA449" s="36"/>
      <c r="AB449" s="36"/>
      <c r="AC449" s="36"/>
      <c r="AD449" s="36"/>
      <c r="AE449" s="36"/>
      <c r="AF449" s="36"/>
      <c r="AG449" s="36"/>
      <c r="AH449" s="36"/>
      <c r="AI449" s="36"/>
      <c r="AJ449" s="36"/>
      <c r="AK449" s="36"/>
      <c r="AL449" s="36"/>
      <c r="AM449" s="36"/>
      <c r="AN449" s="37"/>
      <c r="AO449" s="37"/>
      <c r="AP449" s="37"/>
      <c r="AQ449" s="37"/>
      <c r="AR449" s="37"/>
      <c r="AS449" s="37"/>
      <c r="AT449" s="37"/>
      <c r="AU449" s="37"/>
      <c r="AV449" s="37"/>
      <c r="AW449" s="37"/>
      <c r="AX449" s="37"/>
      <c r="AY449" s="37"/>
      <c r="AZ449" s="37"/>
      <c r="BA449" s="37"/>
      <c r="BB449" s="37"/>
      <c r="BC449" s="37"/>
      <c r="BD449" s="37"/>
      <c r="BE449" s="37"/>
    </row>
    <row r="450" spans="2:59" s="31" customFormat="1" ht="15.5" x14ac:dyDescent="0.3">
      <c r="B450" s="54" t="s">
        <v>576</v>
      </c>
      <c r="C450" s="395" t="s">
        <v>242</v>
      </c>
      <c r="D450" s="395"/>
      <c r="G450" s="34"/>
      <c r="H450" s="84"/>
      <c r="J450" s="33"/>
      <c r="K450" s="34"/>
      <c r="L450" s="34"/>
      <c r="M450" s="84"/>
      <c r="N450" s="84"/>
      <c r="O450" s="257"/>
      <c r="Q450" s="35"/>
      <c r="R450" s="99"/>
      <c r="S450" s="36"/>
      <c r="T450" s="36"/>
      <c r="U450" s="36"/>
      <c r="V450" s="36"/>
      <c r="W450" s="36"/>
      <c r="X450" s="36"/>
      <c r="Y450" s="36"/>
      <c r="Z450" s="36"/>
      <c r="AA450" s="36"/>
      <c r="AB450" s="36"/>
      <c r="AC450" s="36"/>
      <c r="AD450" s="36"/>
      <c r="AE450" s="36"/>
      <c r="AF450" s="36"/>
      <c r="AG450" s="36"/>
      <c r="AH450" s="36"/>
      <c r="AI450" s="36"/>
      <c r="AJ450" s="36"/>
      <c r="AK450" s="36"/>
      <c r="AL450" s="36"/>
      <c r="AM450" s="36"/>
      <c r="AN450" s="37"/>
      <c r="AO450" s="37"/>
      <c r="AP450" s="37"/>
      <c r="AQ450" s="37"/>
      <c r="AR450" s="37"/>
      <c r="AS450" s="37"/>
      <c r="AT450" s="37"/>
      <c r="AU450" s="37"/>
      <c r="AV450" s="37"/>
      <c r="AW450" s="37"/>
      <c r="AX450" s="37"/>
      <c r="AY450" s="37"/>
      <c r="AZ450" s="37"/>
      <c r="BA450" s="37"/>
      <c r="BB450" s="37"/>
      <c r="BC450" s="37"/>
      <c r="BD450" s="37"/>
      <c r="BE450" s="37"/>
    </row>
    <row r="451" spans="2:59" s="31" customFormat="1" ht="15.5" x14ac:dyDescent="0.3">
      <c r="B451" s="54"/>
      <c r="C451" s="34"/>
      <c r="D451" s="34"/>
      <c r="G451" s="34"/>
      <c r="H451" s="84"/>
      <c r="J451" s="33"/>
      <c r="K451" s="34"/>
      <c r="L451" s="34"/>
      <c r="M451" s="84"/>
      <c r="N451" s="84"/>
      <c r="O451" s="255"/>
      <c r="Q451" s="35"/>
      <c r="R451" s="99"/>
      <c r="S451" s="36"/>
      <c r="T451" s="36"/>
      <c r="U451" s="36"/>
      <c r="V451" s="36"/>
      <c r="W451" s="36"/>
      <c r="X451" s="36"/>
      <c r="Y451" s="36"/>
      <c r="Z451" s="36"/>
      <c r="AA451" s="36"/>
      <c r="AB451" s="36"/>
      <c r="AC451" s="36"/>
      <c r="AD451" s="36"/>
      <c r="AE451" s="36"/>
      <c r="AF451" s="36"/>
      <c r="AG451" s="36"/>
      <c r="AH451" s="36"/>
      <c r="AI451" s="36"/>
      <c r="AJ451" s="36"/>
      <c r="AK451" s="36"/>
      <c r="AL451" s="36"/>
      <c r="AM451" s="36"/>
      <c r="AN451" s="37"/>
      <c r="AO451" s="37"/>
      <c r="AP451" s="37"/>
      <c r="AQ451" s="37"/>
      <c r="AR451" s="37"/>
      <c r="AS451" s="37"/>
      <c r="AT451" s="37"/>
      <c r="AU451" s="37"/>
      <c r="AV451" s="37"/>
      <c r="AW451" s="37"/>
      <c r="AX451" s="37"/>
      <c r="AY451" s="37"/>
      <c r="AZ451" s="37"/>
      <c r="BA451" s="37"/>
      <c r="BB451" s="37"/>
      <c r="BC451" s="37"/>
      <c r="BD451" s="37"/>
      <c r="BE451" s="37"/>
    </row>
    <row r="452" spans="2:59" ht="19.5" hidden="1" customHeight="1" x14ac:dyDescent="0.3"/>
    <row r="453" spans="2:59" ht="19.5" hidden="1" customHeight="1" x14ac:dyDescent="0.3"/>
    <row r="454" spans="2:59" ht="19.5" hidden="1" customHeight="1" x14ac:dyDescent="0.3"/>
    <row r="455" spans="2:59" ht="19.5" hidden="1" customHeight="1" x14ac:dyDescent="0.3"/>
    <row r="456" spans="2:59" ht="19.5" hidden="1" customHeight="1" x14ac:dyDescent="0.3"/>
    <row r="457" spans="2:59" ht="19.5" hidden="1" customHeight="1" x14ac:dyDescent="0.3"/>
    <row r="458" spans="2:59" ht="19.5" hidden="1" customHeight="1" x14ac:dyDescent="0.3"/>
    <row r="459" spans="2:59" ht="19.5" hidden="1" customHeight="1" x14ac:dyDescent="0.3"/>
    <row r="460" spans="2:59" ht="19.5" hidden="1" customHeight="1" x14ac:dyDescent="0.3"/>
    <row r="461" spans="2:59" ht="19.5" hidden="1" customHeight="1" x14ac:dyDescent="0.3"/>
    <row r="462" spans="2:59" ht="19.5" hidden="1" customHeight="1" x14ac:dyDescent="0.3"/>
    <row r="463" spans="2:59" ht="19.5" hidden="1" customHeight="1" x14ac:dyDescent="0.3"/>
    <row r="464" spans="2:59" ht="13.9" customHeight="1" x14ac:dyDescent="0.3">
      <c r="K464" s="13"/>
      <c r="L464" s="13"/>
      <c r="M464" s="87"/>
      <c r="N464" s="87"/>
      <c r="O464" s="87"/>
      <c r="P464" s="5"/>
      <c r="Q464" s="24"/>
      <c r="R464" s="285" t="s">
        <v>346</v>
      </c>
      <c r="S464" s="22"/>
      <c r="T464" s="233"/>
      <c r="U464" s="234"/>
      <c r="V464" s="234"/>
      <c r="W464" s="234"/>
      <c r="X464" s="234"/>
      <c r="Y464" s="234"/>
      <c r="Z464" s="234"/>
      <c r="AA464" s="234"/>
      <c r="AB464" s="234"/>
      <c r="AC464" s="234"/>
      <c r="AD464" s="234"/>
      <c r="AN464" s="23"/>
      <c r="AO464" s="23"/>
      <c r="BF464" s="5"/>
      <c r="BG464" s="5"/>
    </row>
    <row r="465" spans="11:59" ht="13.9" customHeight="1" x14ac:dyDescent="0.3">
      <c r="K465" s="13"/>
      <c r="L465" s="13"/>
      <c r="M465" s="87"/>
      <c r="N465" s="87"/>
      <c r="O465" s="87"/>
      <c r="P465" s="5"/>
      <c r="Q465" s="24"/>
      <c r="R465" s="244"/>
      <c r="S465" s="23"/>
      <c r="T465" s="233"/>
      <c r="U465" s="234"/>
      <c r="V465" s="234"/>
      <c r="W465" s="234"/>
      <c r="X465" s="234"/>
      <c r="Y465" s="234" t="s">
        <v>172</v>
      </c>
      <c r="Z465" s="234" t="s">
        <v>658</v>
      </c>
      <c r="AA465" s="234"/>
      <c r="AB465" s="234"/>
      <c r="AC465" s="234"/>
      <c r="AD465" s="234"/>
      <c r="AN465" s="23"/>
      <c r="AO465" s="23"/>
      <c r="BF465" s="5"/>
      <c r="BG465" s="5"/>
    </row>
    <row r="466" spans="11:59" ht="13.9" customHeight="1" x14ac:dyDescent="0.3">
      <c r="K466" s="13"/>
      <c r="L466" s="13"/>
      <c r="M466" s="87"/>
      <c r="N466" s="87"/>
      <c r="O466" s="87"/>
      <c r="P466" s="5"/>
      <c r="Q466" s="24"/>
      <c r="R466" s="244"/>
      <c r="S466" s="286" t="str">
        <f>B8</f>
        <v>Työssä tarvittavien työkoneiden ja muun työmaakaluston kuljetus alueelle sekä niiden kuljetus alueelta pois käsittelyn päättyessä</v>
      </c>
      <c r="T466" s="287"/>
      <c r="U466" s="288"/>
      <c r="V466" s="288"/>
      <c r="W466" s="288" t="s">
        <v>730</v>
      </c>
      <c r="X466" s="288" t="s">
        <v>674</v>
      </c>
      <c r="Y466" s="289">
        <f ca="1">SUM(Y467,Y470)</f>
        <v>0</v>
      </c>
      <c r="Z466" s="290" t="str">
        <f ca="1">IF(ISERROR(Y466/Y524),"--",Y466/Y524)</f>
        <v>--</v>
      </c>
      <c r="AA466" s="234"/>
      <c r="AB466" s="234"/>
      <c r="AC466" s="234"/>
      <c r="AD466" s="234"/>
      <c r="AN466" s="23"/>
      <c r="AO466" s="23"/>
      <c r="BF466" s="5"/>
      <c r="BG466" s="5"/>
    </row>
    <row r="467" spans="11:59" ht="13.9" customHeight="1" x14ac:dyDescent="0.3">
      <c r="K467" s="13"/>
      <c r="L467" s="13"/>
      <c r="M467" s="87"/>
      <c r="N467" s="87"/>
      <c r="O467" s="87"/>
      <c r="P467" s="5"/>
      <c r="Q467" s="24"/>
      <c r="R467" s="244"/>
      <c r="S467" s="212" t="s">
        <v>629</v>
      </c>
      <c r="T467" s="234"/>
      <c r="U467" s="234"/>
      <c r="V467" s="234"/>
      <c r="W467" s="234" t="s">
        <v>730</v>
      </c>
      <c r="X467" s="234" t="s">
        <v>348</v>
      </c>
      <c r="Y467" s="235">
        <f ca="1">SUM(Y468:Y469)</f>
        <v>0</v>
      </c>
      <c r="Z467" s="284" t="str">
        <f ca="1">IF(ISERROR(Y467/Y524),"--",Y467/Y524)</f>
        <v>--</v>
      </c>
      <c r="AA467" s="234"/>
      <c r="AB467" s="234"/>
      <c r="AC467" s="234"/>
      <c r="AD467" s="234"/>
      <c r="AN467" s="23"/>
      <c r="AO467" s="23"/>
      <c r="BF467" s="5"/>
      <c r="BG467" s="5"/>
    </row>
    <row r="468" spans="11:59" ht="13.9" customHeight="1" x14ac:dyDescent="0.3">
      <c r="K468" s="13"/>
      <c r="L468" s="13"/>
      <c r="M468" s="87"/>
      <c r="N468" s="87"/>
      <c r="O468" s="87"/>
      <c r="P468" s="5"/>
      <c r="Q468" s="24"/>
      <c r="R468" s="244"/>
      <c r="S468" s="252" t="s">
        <v>40</v>
      </c>
      <c r="T468" s="234"/>
      <c r="U468" s="234"/>
      <c r="V468" s="234"/>
      <c r="W468" s="234" t="s">
        <v>40</v>
      </c>
      <c r="X468" s="234"/>
      <c r="Y468" s="235">
        <f>SUM(AB11,AB16,AB21)</f>
        <v>0</v>
      </c>
      <c r="Z468" s="284" t="str">
        <f ca="1">IF(ISERROR(Y468/Y524),"--",Y468/Y524)</f>
        <v>--</v>
      </c>
      <c r="AA468" s="234"/>
      <c r="AB468" s="234"/>
      <c r="AC468" s="234"/>
      <c r="AD468" s="234"/>
      <c r="AN468" s="23"/>
      <c r="AO468" s="23"/>
      <c r="BF468" s="5"/>
      <c r="BG468" s="5"/>
    </row>
    <row r="469" spans="11:59" ht="13.9" customHeight="1" x14ac:dyDescent="0.3">
      <c r="K469" s="13"/>
      <c r="L469" s="13"/>
      <c r="M469" s="87"/>
      <c r="N469" s="87"/>
      <c r="O469" s="87"/>
      <c r="P469" s="5"/>
      <c r="Q469" s="24"/>
      <c r="R469" s="244"/>
      <c r="S469" s="252" t="s">
        <v>637</v>
      </c>
      <c r="T469" s="234"/>
      <c r="U469" s="234"/>
      <c r="V469" s="234"/>
      <c r="W469" s="234" t="s">
        <v>40</v>
      </c>
      <c r="X469" s="234"/>
      <c r="Y469" s="235">
        <f ca="1">SUM(AG21,AG16,AG11)</f>
        <v>0</v>
      </c>
      <c r="Z469" s="284" t="str">
        <f ca="1">IF(ISERROR(Y469/Y524),"--",Y469/Y524)</f>
        <v>--</v>
      </c>
      <c r="AA469" s="234"/>
      <c r="AB469" s="234"/>
      <c r="AC469" s="234"/>
      <c r="AD469" s="234"/>
      <c r="AN469" s="23"/>
      <c r="AO469" s="23"/>
      <c r="BF469" s="5"/>
      <c r="BG469" s="5"/>
    </row>
    <row r="470" spans="11:59" ht="13.9" customHeight="1" x14ac:dyDescent="0.3">
      <c r="K470" s="13"/>
      <c r="L470" s="13"/>
      <c r="M470" s="87"/>
      <c r="N470" s="87"/>
      <c r="O470" s="87"/>
      <c r="P470" s="5"/>
      <c r="Q470" s="24"/>
      <c r="R470" s="244"/>
      <c r="S470" s="212" t="s">
        <v>630</v>
      </c>
      <c r="T470" s="234"/>
      <c r="U470" s="234"/>
      <c r="V470" s="234"/>
      <c r="W470" s="234" t="s">
        <v>730</v>
      </c>
      <c r="X470" s="234" t="s">
        <v>385</v>
      </c>
      <c r="Y470" s="235">
        <f ca="1">SUM(Y471:Y472)</f>
        <v>0</v>
      </c>
      <c r="Z470" s="284" t="str">
        <f ca="1">IF(ISERROR(Y470/Y524),"--",Y470/Y524)</f>
        <v>--</v>
      </c>
      <c r="AA470" s="234"/>
      <c r="AB470" s="234"/>
      <c r="AC470" s="234"/>
      <c r="AD470" s="234"/>
      <c r="AN470" s="23"/>
      <c r="AO470" s="23"/>
      <c r="BF470" s="5"/>
      <c r="BG470" s="5"/>
    </row>
    <row r="471" spans="11:59" ht="13.9" customHeight="1" x14ac:dyDescent="0.3">
      <c r="K471" s="13"/>
      <c r="L471" s="13"/>
      <c r="M471" s="87"/>
      <c r="N471" s="87"/>
      <c r="O471" s="87"/>
      <c r="P471" s="5"/>
      <c r="Q471" s="24"/>
      <c r="R471" s="244"/>
      <c r="S471" s="252" t="s">
        <v>40</v>
      </c>
      <c r="T471" s="234"/>
      <c r="U471" s="234"/>
      <c r="V471" s="234"/>
      <c r="W471" s="234" t="s">
        <v>40</v>
      </c>
      <c r="X471" s="234"/>
      <c r="Y471" s="235">
        <f>SUM(AB11,AB16,AB21)</f>
        <v>0</v>
      </c>
      <c r="Z471" s="284" t="str">
        <f ca="1">IF(ISERROR(Y471/Y524),"--",Y471/Y524)</f>
        <v>--</v>
      </c>
      <c r="AA471" s="234"/>
      <c r="AB471" s="234"/>
      <c r="AC471" s="234"/>
      <c r="AD471" s="234"/>
      <c r="AN471" s="23"/>
      <c r="AO471" s="23"/>
      <c r="BF471" s="5"/>
      <c r="BG471" s="5"/>
    </row>
    <row r="472" spans="11:59" ht="13.9" customHeight="1" x14ac:dyDescent="0.3">
      <c r="K472" s="13"/>
      <c r="L472" s="13"/>
      <c r="M472" s="87"/>
      <c r="N472" s="87"/>
      <c r="O472" s="87"/>
      <c r="P472" s="5"/>
      <c r="Q472" s="24"/>
      <c r="R472" s="244"/>
      <c r="S472" s="252" t="s">
        <v>637</v>
      </c>
      <c r="T472" s="234"/>
      <c r="U472" s="234"/>
      <c r="V472" s="234"/>
      <c r="W472" s="234" t="s">
        <v>40</v>
      </c>
      <c r="X472" s="234"/>
      <c r="Y472" s="235">
        <f ca="1">SUM(AG21,AG16,AG11)</f>
        <v>0</v>
      </c>
      <c r="Z472" s="284" t="str">
        <f ca="1">IF(ISERROR(Y472/Y524),"--",Y472/Y524)</f>
        <v>--</v>
      </c>
      <c r="AA472" s="234"/>
      <c r="AB472" s="234"/>
      <c r="AC472" s="234"/>
      <c r="AD472" s="234"/>
      <c r="AN472" s="23"/>
      <c r="AO472" s="23"/>
      <c r="BF472" s="5"/>
      <c r="BG472" s="5"/>
    </row>
    <row r="473" spans="11:59" ht="13.9" customHeight="1" x14ac:dyDescent="0.3">
      <c r="K473" s="13"/>
      <c r="L473" s="13"/>
      <c r="M473" s="87"/>
      <c r="N473" s="87"/>
      <c r="O473" s="87"/>
      <c r="P473" s="5"/>
      <c r="Q473" s="24"/>
      <c r="R473" s="244"/>
      <c r="S473" s="286" t="str">
        <f>B28</f>
        <v>Työtä varten tehtävät puuston, asfalttipintojen  tai rakenteiden poisto</v>
      </c>
      <c r="T473" s="287"/>
      <c r="U473" s="288"/>
      <c r="V473" s="288"/>
      <c r="W473" s="288" t="s">
        <v>731</v>
      </c>
      <c r="X473" s="288" t="s">
        <v>348</v>
      </c>
      <c r="Y473" s="289">
        <f>SUM(Y474,Y475,Y476)</f>
        <v>0</v>
      </c>
      <c r="Z473" s="290" t="str">
        <f ca="1">IF(ISERROR(Y473/Y524),"--",Y473/Y524)</f>
        <v>--</v>
      </c>
      <c r="AA473" s="234"/>
      <c r="AB473" s="234"/>
      <c r="AC473" s="234"/>
      <c r="AD473" s="234"/>
      <c r="AN473" s="23"/>
      <c r="AO473" s="23"/>
      <c r="BF473" s="5"/>
      <c r="BG473" s="5"/>
    </row>
    <row r="474" spans="11:59" ht="13.9" customHeight="1" x14ac:dyDescent="0.3">
      <c r="K474" s="13"/>
      <c r="L474" s="13"/>
      <c r="M474" s="87"/>
      <c r="N474" s="87"/>
      <c r="O474" s="87"/>
      <c r="P474" s="5"/>
      <c r="Q474" s="24"/>
      <c r="R474" s="244"/>
      <c r="S474" s="212" t="s">
        <v>634</v>
      </c>
      <c r="T474" s="234"/>
      <c r="U474" s="234"/>
      <c r="V474" s="234"/>
      <c r="W474" s="234" t="s">
        <v>655</v>
      </c>
      <c r="X474" s="234" t="s">
        <v>348</v>
      </c>
      <c r="Y474" s="235">
        <f>SUM(R31)</f>
        <v>0</v>
      </c>
      <c r="Z474" s="284" t="str">
        <f ca="1">IF(ISERROR(Y474/Y524),"--",Y474/Y524)</f>
        <v>--</v>
      </c>
      <c r="AA474" s="234"/>
      <c r="AB474" s="234"/>
      <c r="AC474" s="234"/>
      <c r="AD474" s="234"/>
      <c r="AN474" s="23"/>
      <c r="AO474" s="23"/>
      <c r="BF474" s="5"/>
      <c r="BG474" s="5"/>
    </row>
    <row r="475" spans="11:59" ht="13.9" customHeight="1" x14ac:dyDescent="0.3">
      <c r="K475" s="13"/>
      <c r="L475" s="13"/>
      <c r="M475" s="87"/>
      <c r="N475" s="87"/>
      <c r="O475" s="87"/>
      <c r="P475" s="5"/>
      <c r="Q475" s="24"/>
      <c r="R475" s="244"/>
      <c r="S475" s="212" t="s">
        <v>631</v>
      </c>
      <c r="T475" s="234"/>
      <c r="U475" s="234"/>
      <c r="V475" s="234"/>
      <c r="W475" s="234" t="s">
        <v>655</v>
      </c>
      <c r="X475" s="234" t="s">
        <v>348</v>
      </c>
      <c r="Y475" s="235">
        <f>SUM(R32)</f>
        <v>0</v>
      </c>
      <c r="Z475" s="284" t="str">
        <f ca="1">IF(ISERROR(Y475/Y524),"--",Y475/Y524)</f>
        <v>--</v>
      </c>
      <c r="AA475" s="234"/>
      <c r="AB475" s="234"/>
      <c r="AC475" s="234"/>
      <c r="AD475" s="234"/>
      <c r="AN475" s="23"/>
      <c r="AO475" s="23"/>
      <c r="BF475" s="5"/>
      <c r="BG475" s="5"/>
    </row>
    <row r="476" spans="11:59" ht="13.9" customHeight="1" x14ac:dyDescent="0.3">
      <c r="K476" s="13"/>
      <c r="L476" s="13"/>
      <c r="M476" s="87"/>
      <c r="N476" s="87"/>
      <c r="O476" s="87"/>
      <c r="P476" s="5"/>
      <c r="Q476" s="24"/>
      <c r="R476" s="244"/>
      <c r="S476" s="212" t="s">
        <v>55</v>
      </c>
      <c r="T476" s="234"/>
      <c r="U476" s="234"/>
      <c r="V476" s="234"/>
      <c r="W476" s="234" t="s">
        <v>655</v>
      </c>
      <c r="X476" s="234" t="s">
        <v>348</v>
      </c>
      <c r="Y476" s="235">
        <f>SUM(R34)</f>
        <v>0</v>
      </c>
      <c r="Z476" s="284" t="str">
        <f ca="1">IF(ISERROR(Y476/Y524),"--",Y476/Y524)</f>
        <v>--</v>
      </c>
      <c r="AA476" s="234"/>
      <c r="AB476" s="234"/>
      <c r="AC476" s="234"/>
      <c r="AD476" s="234"/>
      <c r="AN476" s="23"/>
      <c r="AO476" s="23"/>
      <c r="BF476" s="5"/>
      <c r="BG476" s="5"/>
    </row>
    <row r="477" spans="11:59" ht="13.9" customHeight="1" x14ac:dyDescent="0.3">
      <c r="K477" s="13"/>
      <c r="L477" s="13"/>
      <c r="M477" s="87"/>
      <c r="N477" s="87"/>
      <c r="O477" s="87"/>
      <c r="P477" s="5"/>
      <c r="Q477" s="24"/>
      <c r="R477" s="244"/>
      <c r="S477" s="286" t="s">
        <v>632</v>
      </c>
      <c r="T477" s="288"/>
      <c r="U477" s="288"/>
      <c r="V477" s="288"/>
      <c r="W477" s="288" t="s">
        <v>663</v>
      </c>
      <c r="X477" s="288" t="s">
        <v>633</v>
      </c>
      <c r="Y477" s="289">
        <f>SUM(R30)</f>
        <v>0</v>
      </c>
      <c r="Z477" s="290"/>
      <c r="AA477" s="234"/>
      <c r="AB477" s="234"/>
      <c r="AC477" s="234"/>
      <c r="AD477" s="234"/>
      <c r="AN477" s="23"/>
      <c r="AO477" s="23"/>
      <c r="BF477" s="5"/>
      <c r="BG477" s="5"/>
    </row>
    <row r="478" spans="11:59" ht="13.9" customHeight="1" x14ac:dyDescent="0.3">
      <c r="K478" s="13"/>
      <c r="L478" s="13"/>
      <c r="M478" s="87"/>
      <c r="N478" s="87"/>
      <c r="O478" s="87"/>
      <c r="P478" s="5"/>
      <c r="Q478" s="24"/>
      <c r="R478" s="244"/>
      <c r="S478" s="286" t="str">
        <f>B37</f>
        <v>Maa-ainesten poisto ja muu kaivu</v>
      </c>
      <c r="T478" s="287"/>
      <c r="U478" s="288"/>
      <c r="V478" s="288"/>
      <c r="W478" s="288" t="s">
        <v>655</v>
      </c>
      <c r="X478" s="288" t="s">
        <v>635</v>
      </c>
      <c r="Y478" s="289">
        <f>SUM(R39)</f>
        <v>0</v>
      </c>
      <c r="Z478" s="290" t="str">
        <f ca="1">IF(ISERROR(Y478/Y524),"--",Y478/Y524)</f>
        <v>--</v>
      </c>
      <c r="AA478" s="234"/>
      <c r="AB478" s="234"/>
      <c r="AC478" s="234"/>
      <c r="AD478" s="234"/>
      <c r="AN478" s="23"/>
      <c r="AO478" s="23"/>
      <c r="BF478" s="5"/>
      <c r="BG478" s="5"/>
    </row>
    <row r="479" spans="11:59" ht="13.9" customHeight="1" x14ac:dyDescent="0.3">
      <c r="K479" s="13"/>
      <c r="L479" s="13"/>
      <c r="M479" s="87"/>
      <c r="N479" s="87"/>
      <c r="O479" s="87"/>
      <c r="P479" s="5"/>
      <c r="Q479" s="24"/>
      <c r="R479" s="244"/>
      <c r="S479" s="286" t="str">
        <f>B44</f>
        <v>Työssä poistettavien maa-ainesten ja purkumateriaalien kuljetukset</v>
      </c>
      <c r="T479" s="287"/>
      <c r="U479" s="288"/>
      <c r="V479" s="288"/>
      <c r="W479" s="288" t="s">
        <v>730</v>
      </c>
      <c r="X479" s="288" t="s">
        <v>664</v>
      </c>
      <c r="Y479" s="289">
        <f ca="1">SUM(Y480:Y481)</f>
        <v>0</v>
      </c>
      <c r="Z479" s="290"/>
      <c r="AA479" s="234"/>
      <c r="AB479" s="234"/>
      <c r="AC479" s="234"/>
      <c r="AD479" s="234"/>
      <c r="AN479" s="23"/>
      <c r="AO479" s="23"/>
      <c r="BF479" s="5"/>
      <c r="BG479" s="5"/>
    </row>
    <row r="480" spans="11:59" ht="13.9" customHeight="1" x14ac:dyDescent="0.3">
      <c r="K480" s="13"/>
      <c r="L480" s="13"/>
      <c r="M480" s="87"/>
      <c r="N480" s="87"/>
      <c r="O480" s="87"/>
      <c r="P480" s="5"/>
      <c r="Q480" s="24"/>
      <c r="R480" s="244"/>
      <c r="S480" s="212" t="s">
        <v>40</v>
      </c>
      <c r="T480" s="233"/>
      <c r="U480" s="234"/>
      <c r="V480" s="234"/>
      <c r="W480" s="234" t="s">
        <v>40</v>
      </c>
      <c r="X480" s="234" t="s">
        <v>664</v>
      </c>
      <c r="Y480" s="235">
        <f>SUM(AB47,AB52,AB57,AB62,AB67)</f>
        <v>0</v>
      </c>
      <c r="Z480" s="284"/>
      <c r="AA480" s="234"/>
      <c r="AB480" s="234"/>
      <c r="AC480" s="234"/>
      <c r="AD480" s="234"/>
      <c r="AN480" s="23"/>
      <c r="AO480" s="23"/>
      <c r="BF480" s="5"/>
      <c r="BG480" s="5"/>
    </row>
    <row r="481" spans="11:59" ht="13.9" customHeight="1" x14ac:dyDescent="0.3">
      <c r="K481" s="13"/>
      <c r="L481" s="13"/>
      <c r="M481" s="87"/>
      <c r="N481" s="87"/>
      <c r="O481" s="87"/>
      <c r="P481" s="5"/>
      <c r="Q481" s="24"/>
      <c r="R481" s="244"/>
      <c r="S481" s="212" t="s">
        <v>637</v>
      </c>
      <c r="T481" s="233"/>
      <c r="U481" s="234"/>
      <c r="V481" s="234"/>
      <c r="W481" s="234" t="s">
        <v>40</v>
      </c>
      <c r="X481" s="234" t="s">
        <v>664</v>
      </c>
      <c r="Y481" s="235">
        <f ca="1">SUM(AG47,AG52,AG57,AG62,AG67)</f>
        <v>0</v>
      </c>
      <c r="Z481" s="284"/>
      <c r="AA481" s="234"/>
      <c r="AB481" s="234"/>
      <c r="AC481" s="234"/>
      <c r="AD481" s="234"/>
      <c r="AN481" s="23"/>
      <c r="AO481" s="23"/>
      <c r="BF481" s="5"/>
      <c r="BG481" s="5"/>
    </row>
    <row r="482" spans="11:59" ht="13.9" customHeight="1" x14ac:dyDescent="0.3">
      <c r="K482" s="13"/>
      <c r="L482" s="13"/>
      <c r="M482" s="87"/>
      <c r="N482" s="87"/>
      <c r="O482" s="87"/>
      <c r="P482" s="5"/>
      <c r="Q482" s="24"/>
      <c r="R482" s="244"/>
      <c r="S482" s="286" t="str">
        <f>B74</f>
        <v>Työssä poistetun maa-aineksen käsittely kohteen ulkopuolella</v>
      </c>
      <c r="T482" s="287"/>
      <c r="U482" s="288"/>
      <c r="V482" s="288"/>
      <c r="W482" s="288" t="s">
        <v>657</v>
      </c>
      <c r="X482" s="288" t="s">
        <v>664</v>
      </c>
      <c r="Y482" s="289">
        <f>SUM(R76,R78)</f>
        <v>0</v>
      </c>
      <c r="Z482" s="290"/>
      <c r="AA482" s="234"/>
      <c r="AB482" s="234"/>
      <c r="AC482" s="234"/>
      <c r="AD482" s="234"/>
      <c r="AN482" s="23"/>
      <c r="AO482" s="23"/>
      <c r="BF482" s="5"/>
      <c r="BG482" s="5"/>
    </row>
    <row r="483" spans="11:59" ht="13.9" customHeight="1" x14ac:dyDescent="0.3">
      <c r="K483" s="13"/>
      <c r="L483" s="13"/>
      <c r="M483" s="87"/>
      <c r="N483" s="87"/>
      <c r="O483" s="87"/>
      <c r="P483" s="5"/>
      <c r="Q483" s="24"/>
      <c r="R483" s="244"/>
      <c r="S483" s="286" t="s">
        <v>669</v>
      </c>
      <c r="T483" s="287"/>
      <c r="U483" s="288"/>
      <c r="V483" s="288"/>
      <c r="W483" s="288" t="s">
        <v>642</v>
      </c>
      <c r="X483" s="288" t="s">
        <v>642</v>
      </c>
      <c r="Y483" s="289">
        <f>SUM(R79)</f>
        <v>0</v>
      </c>
      <c r="Z483" s="290" t="str">
        <f ca="1">IF(ISERROR(Y483/Y524),"--",Y483/Y524)</f>
        <v>--</v>
      </c>
      <c r="AA483" s="234"/>
      <c r="AB483" s="234"/>
      <c r="AC483" s="234"/>
      <c r="AD483" s="234"/>
      <c r="AN483" s="23"/>
      <c r="AO483" s="23"/>
      <c r="BF483" s="5"/>
      <c r="BG483" s="5"/>
    </row>
    <row r="484" spans="11:59" ht="13.9" customHeight="1" x14ac:dyDescent="0.3">
      <c r="K484" s="13"/>
      <c r="L484" s="13"/>
      <c r="M484" s="87"/>
      <c r="N484" s="87"/>
      <c r="O484" s="87"/>
      <c r="P484" s="5"/>
      <c r="Q484" s="24"/>
      <c r="R484" s="244"/>
      <c r="S484" s="286" t="str">
        <f>B81</f>
        <v>Poistettavia maa-aineksia korvaavien maa-ainesten määrä</v>
      </c>
      <c r="T484" s="287"/>
      <c r="U484" s="288"/>
      <c r="V484" s="288"/>
      <c r="W484" s="288" t="s">
        <v>654</v>
      </c>
      <c r="X484" s="288" t="s">
        <v>664</v>
      </c>
      <c r="Y484" s="289">
        <f>SUM(R83:R87)</f>
        <v>0</v>
      </c>
      <c r="Z484" s="290" t="str">
        <f ca="1">IF(ISERROR(Y484/Y524),"--",Y484/Y524)</f>
        <v>--</v>
      </c>
      <c r="AA484" s="234"/>
      <c r="AB484" s="234"/>
      <c r="AC484" s="234"/>
      <c r="AD484" s="234"/>
      <c r="AN484" s="23"/>
      <c r="AO484" s="23"/>
      <c r="BF484" s="5"/>
      <c r="BG484" s="5"/>
    </row>
    <row r="485" spans="11:59" ht="13.9" customHeight="1" x14ac:dyDescent="0.3">
      <c r="K485" s="13"/>
      <c r="L485" s="13"/>
      <c r="M485" s="87"/>
      <c r="N485" s="87"/>
      <c r="O485" s="87"/>
      <c r="P485" s="5"/>
      <c r="Q485" s="24"/>
      <c r="R485" s="244"/>
      <c r="S485" s="286" t="str">
        <f>B91</f>
        <v>Korvaavien maa-ainesten kuljetukset alueelle</v>
      </c>
      <c r="T485" s="287"/>
      <c r="U485" s="288"/>
      <c r="V485" s="288"/>
      <c r="W485" s="288" t="s">
        <v>730</v>
      </c>
      <c r="X485" s="288" t="s">
        <v>664</v>
      </c>
      <c r="Y485" s="289">
        <f ca="1">SUM(Y486,Y487)</f>
        <v>0</v>
      </c>
      <c r="Z485" s="290"/>
      <c r="AA485" s="234"/>
      <c r="AB485" s="234"/>
      <c r="AC485" s="234"/>
      <c r="AD485" s="234"/>
      <c r="AN485" s="23"/>
      <c r="AO485" s="23"/>
      <c r="BF485" s="5"/>
      <c r="BG485" s="5"/>
    </row>
    <row r="486" spans="11:59" ht="13.9" customHeight="1" x14ac:dyDescent="0.3">
      <c r="K486" s="13"/>
      <c r="L486" s="13"/>
      <c r="M486" s="87"/>
      <c r="N486" s="87"/>
      <c r="O486" s="87"/>
      <c r="P486" s="5"/>
      <c r="Q486" s="24"/>
      <c r="R486" s="244"/>
      <c r="S486" s="212" t="s">
        <v>40</v>
      </c>
      <c r="T486" s="234"/>
      <c r="U486" s="234"/>
      <c r="V486" s="234"/>
      <c r="W486" s="234" t="s">
        <v>40</v>
      </c>
      <c r="X486" s="234" t="s">
        <v>664</v>
      </c>
      <c r="Y486" s="235">
        <f>SUM(AB94,AB99,AB104,AB109,AB114)</f>
        <v>0</v>
      </c>
      <c r="Z486" s="284" t="str">
        <f ca="1">IF(ISERROR(Y486/Y524),"--",Y486/Y524)</f>
        <v>--</v>
      </c>
      <c r="AA486" s="234"/>
      <c r="AB486" s="234"/>
      <c r="AC486" s="234"/>
      <c r="AD486" s="234"/>
      <c r="AN486" s="23"/>
      <c r="AO486" s="23"/>
      <c r="BF486" s="5"/>
      <c r="BG486" s="5"/>
    </row>
    <row r="487" spans="11:59" ht="13.9" customHeight="1" x14ac:dyDescent="0.3">
      <c r="K487" s="13"/>
      <c r="L487" s="13"/>
      <c r="M487" s="87"/>
      <c r="N487" s="87"/>
      <c r="O487" s="87"/>
      <c r="P487" s="5"/>
      <c r="Q487" s="24"/>
      <c r="R487" s="244"/>
      <c r="S487" s="212" t="s">
        <v>637</v>
      </c>
      <c r="T487" s="234"/>
      <c r="U487" s="234"/>
      <c r="V487" s="234"/>
      <c r="W487" s="234" t="s">
        <v>40</v>
      </c>
      <c r="X487" s="234" t="s">
        <v>664</v>
      </c>
      <c r="Y487" s="235">
        <f ca="1">SUM(AG94,AG99,AG104,AG109,AG114)</f>
        <v>0</v>
      </c>
      <c r="Z487" s="284" t="str">
        <f ca="1">IF(ISERROR(Y487/Y524),"--",Y487/Y524)</f>
        <v>--</v>
      </c>
      <c r="AA487" s="234"/>
      <c r="AB487" s="234"/>
      <c r="AC487" s="234"/>
      <c r="AD487" s="234"/>
      <c r="AN487" s="23"/>
      <c r="AO487" s="23"/>
      <c r="BF487" s="5"/>
      <c r="BG487" s="5"/>
    </row>
    <row r="488" spans="11:59" ht="13.9" customHeight="1" x14ac:dyDescent="0.3">
      <c r="K488" s="13"/>
      <c r="L488" s="13"/>
      <c r="M488" s="87"/>
      <c r="N488" s="87"/>
      <c r="O488" s="87"/>
      <c r="P488" s="5"/>
      <c r="Q488" s="24"/>
      <c r="R488" s="244"/>
      <c r="S488" s="286" t="str">
        <f>B121</f>
        <v>Täytöt ja muu korvaavien maa-ainesten käyttö alueella</v>
      </c>
      <c r="T488" s="287"/>
      <c r="U488" s="288"/>
      <c r="V488" s="288"/>
      <c r="W488" s="288" t="s">
        <v>655</v>
      </c>
      <c r="X488" s="288" t="s">
        <v>347</v>
      </c>
      <c r="Y488" s="289">
        <f>SUM(R123)</f>
        <v>0</v>
      </c>
      <c r="Z488" s="290" t="str">
        <f ca="1">IF(ISERROR(Y488/Y524),"--",Y488/Y524)</f>
        <v>--</v>
      </c>
      <c r="AA488" s="234"/>
      <c r="AB488" s="234"/>
      <c r="AC488" s="234"/>
      <c r="AD488" s="234"/>
      <c r="AN488" s="23"/>
      <c r="AO488" s="23"/>
      <c r="BF488" s="5"/>
      <c r="BG488" s="5"/>
    </row>
    <row r="489" spans="11:59" ht="13.9" customHeight="1" x14ac:dyDescent="0.3">
      <c r="K489" s="13"/>
      <c r="L489" s="13"/>
      <c r="M489" s="87"/>
      <c r="N489" s="87"/>
      <c r="O489" s="87"/>
      <c r="P489" s="5"/>
      <c r="Q489" s="24"/>
      <c r="R489" s="244"/>
      <c r="S489" s="286" t="str">
        <f>B128</f>
        <v>Seulonta tms. maa-ainesten muu käsittely</v>
      </c>
      <c r="T489" s="287"/>
      <c r="U489" s="288"/>
      <c r="V489" s="288"/>
      <c r="W489" s="288" t="s">
        <v>655</v>
      </c>
      <c r="X489" s="288" t="s">
        <v>664</v>
      </c>
      <c r="Y489" s="289">
        <f>SUM(R130)</f>
        <v>0</v>
      </c>
      <c r="Z489" s="290" t="str">
        <f ca="1">IF(ISERROR(Y489/Y524),"--",Y489/Y524)</f>
        <v>--</v>
      </c>
      <c r="AA489" s="234"/>
      <c r="AB489" s="234"/>
      <c r="AC489" s="234"/>
      <c r="AD489" s="234"/>
      <c r="AN489" s="23"/>
      <c r="AO489" s="23"/>
      <c r="BF489" s="5"/>
      <c r="BG489" s="5"/>
    </row>
    <row r="490" spans="11:59" ht="13.9" customHeight="1" x14ac:dyDescent="0.3">
      <c r="K490" s="13"/>
      <c r="L490" s="13"/>
      <c r="M490" s="87"/>
      <c r="N490" s="87"/>
      <c r="O490" s="87"/>
      <c r="P490" s="5"/>
      <c r="Q490" s="24"/>
      <c r="R490" s="244"/>
      <c r="S490" s="286" t="str">
        <f>B135</f>
        <v>Maa-aineisten välivarastointi alueella</v>
      </c>
      <c r="T490" s="288"/>
      <c r="U490" s="288"/>
      <c r="V490" s="288"/>
      <c r="W490" s="288" t="s">
        <v>655</v>
      </c>
      <c r="X490" s="288" t="s">
        <v>664</v>
      </c>
      <c r="Y490" s="289">
        <f>SUM(R137,R138)</f>
        <v>0</v>
      </c>
      <c r="Z490" s="290" t="str">
        <f ca="1">IF(ISERROR(Y490/Y524),"--",Y490/Y524)</f>
        <v>--</v>
      </c>
      <c r="AA490" s="234"/>
      <c r="AB490" s="234"/>
      <c r="AC490" s="234"/>
      <c r="AD490" s="234"/>
      <c r="AN490" s="23"/>
      <c r="AO490" s="23"/>
      <c r="BF490" s="5"/>
      <c r="BG490" s="5"/>
    </row>
    <row r="491" spans="11:59" ht="13.9" customHeight="1" x14ac:dyDescent="0.3">
      <c r="K491" s="13"/>
      <c r="L491" s="13"/>
      <c r="M491" s="87"/>
      <c r="N491" s="87"/>
      <c r="O491" s="87"/>
      <c r="P491" s="5"/>
      <c r="Q491" s="24"/>
      <c r="R491" s="244"/>
      <c r="S491" s="286" t="str">
        <f>B145</f>
        <v>Muut käsittelyyn liittyvät työkoneita vaativat työt (esim. rammeroinnit ja tiivistykset)</v>
      </c>
      <c r="T491" s="288"/>
      <c r="U491" s="288"/>
      <c r="V491" s="288"/>
      <c r="W491" s="288" t="s">
        <v>655</v>
      </c>
      <c r="X491" s="288" t="s">
        <v>664</v>
      </c>
      <c r="Y491" s="289">
        <f>SUM(R148,R154)</f>
        <v>0</v>
      </c>
      <c r="Z491" s="290" t="str">
        <f ca="1">IF(ISERROR(Y491/Y524),"--",Y491/Y524)</f>
        <v>--</v>
      </c>
      <c r="AA491" s="234"/>
      <c r="AB491" s="234"/>
      <c r="AC491" s="234"/>
      <c r="AD491" s="234"/>
      <c r="AN491" s="23"/>
      <c r="AO491" s="23"/>
      <c r="BF491" s="5"/>
      <c r="BG491" s="5"/>
    </row>
    <row r="492" spans="11:59" ht="13.9" customHeight="1" x14ac:dyDescent="0.3">
      <c r="K492" s="13"/>
      <c r="L492" s="13"/>
      <c r="M492" s="87"/>
      <c r="N492" s="87"/>
      <c r="O492" s="87"/>
      <c r="P492" s="5"/>
      <c r="Q492" s="24"/>
      <c r="R492" s="244"/>
      <c r="S492" s="286" t="str">
        <f>B159</f>
        <v>Kaivantojen tuenta</v>
      </c>
      <c r="T492" s="287"/>
      <c r="U492" s="288"/>
      <c r="V492" s="288"/>
      <c r="W492" s="288" t="s">
        <v>655</v>
      </c>
      <c r="X492" s="288" t="s">
        <v>664</v>
      </c>
      <c r="Y492" s="289">
        <f>SUM(R161)</f>
        <v>0</v>
      </c>
      <c r="Z492" s="290" t="str">
        <f ca="1">IF(ISERROR(Y492/Y524),"--",Y492/Y524)</f>
        <v>--</v>
      </c>
      <c r="AA492" s="234"/>
      <c r="AB492" s="234"/>
      <c r="AC492" s="234"/>
      <c r="AD492" s="234"/>
      <c r="AN492" s="23"/>
      <c r="AO492" s="23"/>
      <c r="BF492" s="5"/>
      <c r="BG492" s="5"/>
    </row>
    <row r="493" spans="11:59" ht="13.9" customHeight="1" x14ac:dyDescent="0.3">
      <c r="K493" s="13"/>
      <c r="L493" s="13"/>
      <c r="M493" s="87"/>
      <c r="N493" s="87"/>
      <c r="O493" s="87"/>
      <c r="P493" s="5"/>
      <c r="Q493" s="24"/>
      <c r="R493" s="244"/>
      <c r="S493" s="286" t="str">
        <f>B166</f>
        <v>Vesien pumppaaminen</v>
      </c>
      <c r="T493" s="287"/>
      <c r="U493" s="288"/>
      <c r="V493" s="288"/>
      <c r="W493" s="288" t="s">
        <v>655</v>
      </c>
      <c r="X493" s="288" t="s">
        <v>664</v>
      </c>
      <c r="Y493" s="289">
        <f>SUM(R168)</f>
        <v>0</v>
      </c>
      <c r="Z493" s="290" t="str">
        <f ca="1">IF(ISERROR(Y493/Y524),"--",Y493/Y524)</f>
        <v>--</v>
      </c>
      <c r="AA493" s="234"/>
      <c r="AB493" s="234"/>
      <c r="AC493" s="234"/>
      <c r="AD493" s="234"/>
      <c r="AN493" s="23"/>
      <c r="AO493" s="23"/>
      <c r="BF493" s="5"/>
      <c r="BG493" s="5"/>
    </row>
    <row r="494" spans="11:59" ht="13.9" customHeight="1" x14ac:dyDescent="0.3">
      <c r="K494" s="13"/>
      <c r="L494" s="13"/>
      <c r="M494" s="87"/>
      <c r="N494" s="87"/>
      <c r="O494" s="87"/>
      <c r="P494" s="5"/>
      <c r="Q494" s="24"/>
      <c r="R494" s="244"/>
      <c r="S494" s="286" t="s">
        <v>639</v>
      </c>
      <c r="T494" s="288"/>
      <c r="U494" s="288"/>
      <c r="V494" s="288"/>
      <c r="W494" s="288" t="s">
        <v>663</v>
      </c>
      <c r="X494" s="288" t="s">
        <v>664</v>
      </c>
      <c r="Y494" s="289">
        <f>SUM(R176)</f>
        <v>0</v>
      </c>
      <c r="Z494" s="290" t="str">
        <f ca="1">IF(ISERROR(Y494/Y524),"--",Y494/Y524)</f>
        <v>--</v>
      </c>
      <c r="AA494" s="234"/>
      <c r="AB494" s="234"/>
      <c r="AC494" s="234"/>
      <c r="AD494" s="234"/>
      <c r="AN494" s="23"/>
      <c r="AO494" s="23"/>
      <c r="BF494" s="5"/>
      <c r="BG494" s="5"/>
    </row>
    <row r="495" spans="11:59" ht="13.9" customHeight="1" x14ac:dyDescent="0.3">
      <c r="K495" s="13"/>
      <c r="L495" s="13"/>
      <c r="M495" s="87"/>
      <c r="N495" s="87"/>
      <c r="O495" s="87"/>
      <c r="P495" s="5"/>
      <c r="Q495" s="24"/>
      <c r="R495" s="244"/>
      <c r="S495" s="286" t="str">
        <f>B180</f>
        <v>Massanvaihdossa käytettävien kertakäyttöisten materiaalien valmistus</v>
      </c>
      <c r="T495" s="288"/>
      <c r="U495" s="288"/>
      <c r="V495" s="288"/>
      <c r="W495" s="288" t="s">
        <v>654</v>
      </c>
      <c r="X495" s="288" t="s">
        <v>347</v>
      </c>
      <c r="Y495" s="289">
        <f>SUM(R184,R187,R190,R193,R196)</f>
        <v>0</v>
      </c>
      <c r="Z495" s="290" t="str">
        <f t="shared" ref="Z495:Z496" ca="1" si="1">IF(ISERROR(Y496/$Y$524),"--",Y496/$Y$524)</f>
        <v>--</v>
      </c>
      <c r="AA495" s="234"/>
      <c r="AB495" s="234"/>
      <c r="AC495" s="234"/>
      <c r="AD495" s="234"/>
      <c r="AN495" s="23"/>
      <c r="AO495" s="23"/>
      <c r="BF495" s="5"/>
      <c r="BG495" s="5"/>
    </row>
    <row r="496" spans="11:59" ht="13.9" customHeight="1" x14ac:dyDescent="0.3">
      <c r="K496" s="13"/>
      <c r="L496" s="13"/>
      <c r="M496" s="87"/>
      <c r="N496" s="87"/>
      <c r="O496" s="87"/>
      <c r="P496" s="5"/>
      <c r="Q496" s="24"/>
      <c r="R496" s="244"/>
      <c r="S496" s="286" t="str">
        <f>B198</f>
        <v>Massanvaihdossa käytettävien materiaalien kuljetukset alueelle</v>
      </c>
      <c r="T496" s="288"/>
      <c r="U496" s="288"/>
      <c r="V496" s="288"/>
      <c r="W496" s="288" t="s">
        <v>40</v>
      </c>
      <c r="X496" s="288" t="s">
        <v>664</v>
      </c>
      <c r="Y496" s="289">
        <f>SUM(R204,R212,R220,R228,R236)</f>
        <v>0</v>
      </c>
      <c r="Z496" s="290" t="str">
        <f t="shared" ca="1" si="1"/>
        <v>--</v>
      </c>
      <c r="AA496" s="234"/>
      <c r="AB496" s="234"/>
      <c r="AC496" s="234"/>
      <c r="AD496" s="234"/>
      <c r="AN496" s="23"/>
      <c r="AO496" s="23"/>
      <c r="BF496" s="5"/>
      <c r="BG496" s="5"/>
    </row>
    <row r="497" spans="11:59" ht="13.9" customHeight="1" x14ac:dyDescent="0.3">
      <c r="K497" s="13"/>
      <c r="L497" s="13"/>
      <c r="M497" s="87"/>
      <c r="N497" s="87"/>
      <c r="O497" s="87"/>
      <c r="P497" s="5"/>
      <c r="Q497" s="24"/>
      <c r="R497" s="244"/>
      <c r="S497" s="286" t="s">
        <v>42</v>
      </c>
      <c r="T497" s="288"/>
      <c r="U497" s="288"/>
      <c r="V497" s="288"/>
      <c r="W497" s="288" t="s">
        <v>732</v>
      </c>
      <c r="X497" s="288"/>
      <c r="Y497" s="289">
        <f>SUM(Y498:Y500)</f>
        <v>0</v>
      </c>
      <c r="Z497" s="290" t="str">
        <f ca="1">IF(ISERROR(Y497/Y524),"--",Y497/Y524)</f>
        <v>--</v>
      </c>
      <c r="AA497" s="234"/>
      <c r="AB497" s="234"/>
      <c r="AC497" s="234"/>
      <c r="AD497" s="234"/>
      <c r="AN497" s="23"/>
      <c r="AO497" s="23"/>
      <c r="BF497" s="5"/>
      <c r="BG497" s="5"/>
    </row>
    <row r="498" spans="11:59" ht="13.9" customHeight="1" x14ac:dyDescent="0.3">
      <c r="K498" s="13"/>
      <c r="L498" s="13"/>
      <c r="M498" s="87"/>
      <c r="N498" s="87"/>
      <c r="O498" s="87"/>
      <c r="P498" s="5"/>
      <c r="Q498" s="24"/>
      <c r="R498" s="244"/>
      <c r="S498" s="212" t="s">
        <v>60</v>
      </c>
      <c r="T498" s="234"/>
      <c r="U498" s="234"/>
      <c r="V498" s="234"/>
      <c r="W498" s="234" t="s">
        <v>663</v>
      </c>
      <c r="X498" s="234" t="s">
        <v>348</v>
      </c>
      <c r="Y498" s="235">
        <f>SUM(R246)</f>
        <v>0</v>
      </c>
      <c r="Z498" s="284" t="str">
        <f ca="1">IF(ISERROR(Y498/Y524),"--",Y498/Y524)</f>
        <v>--</v>
      </c>
      <c r="AA498" s="234"/>
      <c r="AB498" s="234"/>
      <c r="AC498" s="234"/>
      <c r="AD498" s="234"/>
      <c r="AN498" s="23"/>
      <c r="AO498" s="23"/>
      <c r="BF498" s="5"/>
      <c r="BG498" s="5"/>
    </row>
    <row r="499" spans="11:59" ht="13.9" customHeight="1" x14ac:dyDescent="0.3">
      <c r="K499" s="13"/>
      <c r="L499" s="13"/>
      <c r="M499" s="87"/>
      <c r="N499" s="87"/>
      <c r="O499" s="87"/>
      <c r="P499" s="5"/>
      <c r="Q499" s="24"/>
      <c r="R499" s="244"/>
      <c r="S499" s="212" t="s">
        <v>640</v>
      </c>
      <c r="T499" s="234"/>
      <c r="U499" s="234"/>
      <c r="V499" s="234"/>
      <c r="W499" s="234" t="s">
        <v>663</v>
      </c>
      <c r="X499" s="234" t="s">
        <v>664</v>
      </c>
      <c r="Y499" s="235">
        <f>SUM(R248)</f>
        <v>0</v>
      </c>
      <c r="Z499" s="284" t="str">
        <f ca="1">IF(ISERROR(Y499/Y524),"--",Y499/Y524)</f>
        <v>--</v>
      </c>
      <c r="AA499" s="234"/>
      <c r="AB499" s="234"/>
      <c r="AC499" s="234"/>
      <c r="AD499" s="234"/>
      <c r="AN499" s="23"/>
      <c r="AO499" s="23"/>
      <c r="BF499" s="5"/>
      <c r="BG499" s="5"/>
    </row>
    <row r="500" spans="11:59" ht="13.9" customHeight="1" x14ac:dyDescent="0.3">
      <c r="K500" s="13"/>
      <c r="L500" s="13"/>
      <c r="M500" s="87"/>
      <c r="N500" s="87"/>
      <c r="O500" s="87"/>
      <c r="P500" s="5"/>
      <c r="Q500" s="24"/>
      <c r="R500" s="244"/>
      <c r="S500" s="212" t="s">
        <v>641</v>
      </c>
      <c r="T500" s="234"/>
      <c r="U500" s="234"/>
      <c r="V500" s="234"/>
      <c r="W500" s="234" t="s">
        <v>663</v>
      </c>
      <c r="X500" s="234" t="s">
        <v>665</v>
      </c>
      <c r="Y500" s="235">
        <f>SUM(R448)</f>
        <v>0</v>
      </c>
      <c r="Z500" s="284" t="str">
        <f ca="1">IF(ISERROR(Y500/Y524),"--",Y500/Y524)</f>
        <v>--</v>
      </c>
      <c r="AA500" s="234"/>
      <c r="AB500" s="234"/>
      <c r="AC500" s="234"/>
      <c r="AD500" s="234"/>
      <c r="AN500" s="23"/>
      <c r="AO500" s="23"/>
      <c r="BF500" s="5"/>
      <c r="BG500" s="5"/>
    </row>
    <row r="501" spans="11:59" ht="13.9" customHeight="1" x14ac:dyDescent="0.3">
      <c r="K501" s="13"/>
      <c r="L501" s="13"/>
      <c r="M501" s="87"/>
      <c r="N501" s="87"/>
      <c r="O501" s="87"/>
      <c r="P501" s="5"/>
      <c r="Q501" s="24"/>
      <c r="R501" s="244"/>
      <c r="S501" s="212"/>
      <c r="T501" s="234"/>
      <c r="U501" s="234"/>
      <c r="V501" s="234"/>
      <c r="W501" s="234"/>
      <c r="X501" s="234"/>
      <c r="Y501" s="235"/>
      <c r="Z501" s="284"/>
      <c r="AA501" s="234"/>
      <c r="AB501" s="234"/>
      <c r="AC501" s="234"/>
      <c r="AD501" s="234"/>
      <c r="AN501" s="23"/>
      <c r="AO501" s="23"/>
      <c r="BF501" s="5"/>
      <c r="BG501" s="5"/>
    </row>
    <row r="502" spans="11:59" ht="13.9" customHeight="1" x14ac:dyDescent="0.3">
      <c r="K502" s="13"/>
      <c r="L502" s="13"/>
      <c r="M502" s="87"/>
      <c r="N502" s="87"/>
      <c r="O502" s="87"/>
      <c r="P502" s="5"/>
      <c r="Q502" s="24"/>
      <c r="R502" s="244"/>
      <c r="S502" s="370" t="s">
        <v>25</v>
      </c>
      <c r="T502" s="234"/>
      <c r="U502" s="234"/>
      <c r="V502" s="234"/>
      <c r="W502" s="234"/>
      <c r="X502" s="234"/>
      <c r="Y502" s="235">
        <f ca="1">SUM(Y503,Y506:Y510)</f>
        <v>0</v>
      </c>
      <c r="Z502" s="284" t="str">
        <f ca="1">IF(ISERROR(Y503/$Y$524),"--",Y503/$Y$524)</f>
        <v>--</v>
      </c>
      <c r="AA502" s="234"/>
      <c r="AB502" s="234"/>
      <c r="AC502" s="234"/>
      <c r="AD502" s="234"/>
      <c r="AN502" s="23"/>
      <c r="AO502" s="23"/>
      <c r="BF502" s="5"/>
      <c r="BG502" s="5"/>
    </row>
    <row r="503" spans="11:59" ht="13.9" customHeight="1" x14ac:dyDescent="0.3">
      <c r="K503" s="13"/>
      <c r="L503" s="13"/>
      <c r="M503" s="87"/>
      <c r="N503" s="87"/>
      <c r="O503" s="87"/>
      <c r="P503" s="5"/>
      <c r="Q503" s="24"/>
      <c r="R503" s="244"/>
      <c r="S503" s="291" t="str">
        <f>B254</f>
        <v>Aumakäsittelyssä tarvittavien työkoneiden ja muun työmaakaluston kuljetus alueelle sekä niiden kuljetus alueelta pois käsittelyn päättyessä</v>
      </c>
      <c r="T503" s="288"/>
      <c r="U503" s="288"/>
      <c r="V503" s="288"/>
      <c r="W503" s="288" t="s">
        <v>730</v>
      </c>
      <c r="X503" s="288" t="s">
        <v>348</v>
      </c>
      <c r="Y503" s="289">
        <f ca="1">SUM(Y504:Y505)</f>
        <v>0</v>
      </c>
      <c r="Z503" s="290" t="str">
        <f ca="1">IF(ISERROR(Y503/Y524),"--",Y503/Y524)</f>
        <v>--</v>
      </c>
      <c r="AA503" s="234"/>
      <c r="AB503" s="234"/>
      <c r="AC503" s="234"/>
      <c r="AD503" s="234"/>
      <c r="AN503" s="23"/>
      <c r="AO503" s="23"/>
      <c r="BF503" s="5"/>
      <c r="BG503" s="5"/>
    </row>
    <row r="504" spans="11:59" ht="13.9" customHeight="1" x14ac:dyDescent="0.3">
      <c r="K504" s="13"/>
      <c r="L504" s="13"/>
      <c r="M504" s="87"/>
      <c r="N504" s="87"/>
      <c r="O504" s="87"/>
      <c r="P504" s="5"/>
      <c r="Q504" s="24"/>
      <c r="R504" s="244"/>
      <c r="S504" s="252" t="s">
        <v>40</v>
      </c>
      <c r="T504" s="234"/>
      <c r="U504" s="234"/>
      <c r="V504" s="234"/>
      <c r="W504" s="234" t="s">
        <v>40</v>
      </c>
      <c r="X504" s="234" t="s">
        <v>348</v>
      </c>
      <c r="Y504" s="235">
        <f>SUM(AB257,AB262,AB267)</f>
        <v>0</v>
      </c>
      <c r="Z504" s="284" t="str">
        <f>IF(ISERROR(Y504/Y540),"--",Y504/Y540)</f>
        <v>--</v>
      </c>
      <c r="AA504" s="234"/>
      <c r="AB504" s="234"/>
      <c r="AC504" s="234"/>
      <c r="AD504" s="234"/>
      <c r="AN504" s="23"/>
      <c r="AO504" s="23"/>
      <c r="BF504" s="5"/>
      <c r="BG504" s="5"/>
    </row>
    <row r="505" spans="11:59" ht="13.9" customHeight="1" x14ac:dyDescent="0.3">
      <c r="K505" s="13"/>
      <c r="L505" s="13"/>
      <c r="M505" s="87"/>
      <c r="N505" s="87"/>
      <c r="O505" s="87"/>
      <c r="P505" s="5"/>
      <c r="Q505" s="24"/>
      <c r="R505" s="244"/>
      <c r="S505" s="252" t="s">
        <v>637</v>
      </c>
      <c r="T505" s="234"/>
      <c r="U505" s="234"/>
      <c r="V505" s="234"/>
      <c r="W505" s="234" t="s">
        <v>40</v>
      </c>
      <c r="X505" s="234" t="s">
        <v>348</v>
      </c>
      <c r="Y505" s="235">
        <f ca="1">SUM(AG257,AG262,AG267)</f>
        <v>0</v>
      </c>
      <c r="Z505" s="284" t="str">
        <f ca="1">IF(ISERROR(Y505/Y540),"--",Y505/Y540)</f>
        <v>--</v>
      </c>
      <c r="AA505" s="234"/>
      <c r="AB505" s="234"/>
      <c r="AC505" s="234"/>
      <c r="AD505" s="234"/>
      <c r="AN505" s="23"/>
      <c r="AO505" s="23"/>
      <c r="BF505" s="5"/>
      <c r="BG505" s="5"/>
    </row>
    <row r="506" spans="11:59" ht="13.9" customHeight="1" x14ac:dyDescent="0.3">
      <c r="K506" s="13"/>
      <c r="L506" s="13"/>
      <c r="M506" s="87"/>
      <c r="N506" s="87"/>
      <c r="O506" s="87"/>
      <c r="P506" s="5"/>
      <c r="Q506" s="24"/>
      <c r="R506" s="244"/>
      <c r="S506" s="291" t="str">
        <f>B274</f>
        <v>Aumakäsittelyssä käytettävien kemikaalien ja kertakäyttöisten materiaalien valmistus</v>
      </c>
      <c r="T506" s="288"/>
      <c r="U506" s="288"/>
      <c r="V506" s="288"/>
      <c r="W506" s="288" t="s">
        <v>654</v>
      </c>
      <c r="X506" s="288" t="s">
        <v>347</v>
      </c>
      <c r="Y506" s="289">
        <f>SUM(R278,R281,R284,R287,R290)</f>
        <v>0</v>
      </c>
      <c r="Z506" s="290" t="str">
        <f t="shared" ref="Z506:Z521" ca="1" si="2">IF(ISERROR(Y507/$Y$524),"--",Y507/$Y$524)</f>
        <v>--</v>
      </c>
      <c r="AA506" s="234"/>
      <c r="AB506" s="234"/>
      <c r="AC506" s="234"/>
      <c r="AD506" s="234"/>
      <c r="AN506" s="23"/>
      <c r="AO506" s="23"/>
      <c r="BF506" s="5"/>
      <c r="BG506" s="5"/>
    </row>
    <row r="507" spans="11:59" ht="13.9" customHeight="1" x14ac:dyDescent="0.3">
      <c r="K507" s="13"/>
      <c r="L507" s="13"/>
      <c r="M507" s="87"/>
      <c r="N507" s="87"/>
      <c r="O507" s="87"/>
      <c r="P507" s="5"/>
      <c r="Q507" s="24"/>
      <c r="R507" s="244"/>
      <c r="S507" s="291" t="str">
        <f>B292</f>
        <v>Aumakäsittelyssä käytettävien kemikaalien, tuotteiden ja materiaalien kuljetukset alueelle</v>
      </c>
      <c r="T507" s="288"/>
      <c r="U507" s="288"/>
      <c r="V507" s="288"/>
      <c r="W507" s="288" t="s">
        <v>40</v>
      </c>
      <c r="X507" s="288" t="s">
        <v>664</v>
      </c>
      <c r="Y507" s="289">
        <f>SUM(R298,R306,R314,R322,R330)</f>
        <v>0</v>
      </c>
      <c r="Z507" s="290" t="str">
        <f t="shared" ca="1" si="2"/>
        <v>--</v>
      </c>
      <c r="AA507" s="234"/>
      <c r="AB507" s="234"/>
      <c r="AC507" s="234"/>
      <c r="AD507" s="234"/>
      <c r="AN507" s="23"/>
      <c r="AO507" s="23"/>
      <c r="BF507" s="5"/>
      <c r="BG507" s="5"/>
    </row>
    <row r="508" spans="11:59" ht="13.9" customHeight="1" x14ac:dyDescent="0.3">
      <c r="K508" s="13"/>
      <c r="L508" s="13"/>
      <c r="M508" s="87"/>
      <c r="N508" s="87"/>
      <c r="O508" s="87"/>
      <c r="P508" s="5"/>
      <c r="Q508" s="24"/>
      <c r="R508" s="244"/>
      <c r="S508" s="291" t="str">
        <f>B338</f>
        <v>Aumakäsittelyn työmaatoiminta</v>
      </c>
      <c r="T508" s="288"/>
      <c r="U508" s="288"/>
      <c r="V508" s="288"/>
      <c r="W508" s="288" t="s">
        <v>655</v>
      </c>
      <c r="X508" s="288" t="s">
        <v>664</v>
      </c>
      <c r="Y508" s="289">
        <f>SUM(R340,R345,R350)</f>
        <v>0</v>
      </c>
      <c r="Z508" s="290" t="str">
        <f t="shared" ca="1" si="2"/>
        <v>--</v>
      </c>
      <c r="AA508" s="234"/>
      <c r="AB508" s="234"/>
      <c r="AC508" s="234"/>
      <c r="AD508" s="234"/>
      <c r="AN508" s="23"/>
      <c r="AO508" s="23"/>
      <c r="BF508" s="5"/>
      <c r="BG508" s="5"/>
    </row>
    <row r="509" spans="11:59" ht="13.9" customHeight="1" x14ac:dyDescent="0.3">
      <c r="K509" s="13"/>
      <c r="L509" s="13"/>
      <c r="M509" s="87"/>
      <c r="N509" s="87"/>
      <c r="O509" s="87"/>
      <c r="P509" s="5"/>
      <c r="Q509" s="24"/>
      <c r="R509" s="244"/>
      <c r="S509" s="291" t="s">
        <v>639</v>
      </c>
      <c r="T509" s="288"/>
      <c r="U509" s="288"/>
      <c r="V509" s="288"/>
      <c r="W509" s="288" t="s">
        <v>663</v>
      </c>
      <c r="X509" s="288" t="s">
        <v>664</v>
      </c>
      <c r="Y509" s="289">
        <f>SUM(R355)</f>
        <v>0</v>
      </c>
      <c r="Z509" s="290" t="str">
        <f t="shared" ca="1" si="2"/>
        <v>--</v>
      </c>
      <c r="AA509" s="234"/>
      <c r="AB509" s="234"/>
      <c r="AC509" s="234"/>
      <c r="AD509" s="234"/>
      <c r="AN509" s="23"/>
      <c r="AO509" s="23"/>
      <c r="BF509" s="5"/>
      <c r="BG509" s="5"/>
    </row>
    <row r="510" spans="11:59" ht="13.9" customHeight="1" x14ac:dyDescent="0.3">
      <c r="K510" s="13"/>
      <c r="L510" s="13"/>
      <c r="M510" s="87"/>
      <c r="N510" s="87"/>
      <c r="O510" s="87"/>
      <c r="P510" s="5"/>
      <c r="Q510" s="24"/>
      <c r="R510" s="244"/>
      <c r="S510" s="291" t="s">
        <v>42</v>
      </c>
      <c r="T510" s="288"/>
      <c r="U510" s="288"/>
      <c r="V510" s="288"/>
      <c r="W510" s="288" t="s">
        <v>732</v>
      </c>
      <c r="X510" s="288" t="s">
        <v>664</v>
      </c>
      <c r="Y510" s="289">
        <f>SUM(Y511:Y511)</f>
        <v>0</v>
      </c>
      <c r="Z510" s="290" t="str">
        <f t="shared" ca="1" si="2"/>
        <v>--</v>
      </c>
      <c r="AA510" s="234"/>
      <c r="AB510" s="234"/>
      <c r="AC510" s="234"/>
      <c r="AD510" s="234"/>
      <c r="AN510" s="23"/>
      <c r="AO510" s="23"/>
      <c r="BF510" s="5"/>
      <c r="BG510" s="5"/>
    </row>
    <row r="511" spans="11:59" ht="13.9" customHeight="1" x14ac:dyDescent="0.3">
      <c r="K511" s="13"/>
      <c r="L511" s="13"/>
      <c r="M511" s="87"/>
      <c r="N511" s="87"/>
      <c r="O511" s="87"/>
      <c r="P511" s="5"/>
      <c r="Q511" s="24"/>
      <c r="R511" s="244"/>
      <c r="S511" s="252" t="s">
        <v>640</v>
      </c>
      <c r="T511" s="234"/>
      <c r="U511" s="234"/>
      <c r="V511" s="234"/>
      <c r="W511" s="234" t="s">
        <v>663</v>
      </c>
      <c r="X511" s="234" t="s">
        <v>664</v>
      </c>
      <c r="Y511" s="235">
        <f>SUM(R361)</f>
        <v>0</v>
      </c>
      <c r="Z511" s="284" t="str">
        <f t="shared" ca="1" si="2"/>
        <v>--</v>
      </c>
      <c r="AA511" s="234"/>
      <c r="AB511" s="234"/>
      <c r="AC511" s="234"/>
      <c r="AD511" s="234"/>
      <c r="AN511" s="23"/>
      <c r="AO511" s="23"/>
      <c r="BF511" s="5"/>
      <c r="BG511" s="5"/>
    </row>
    <row r="512" spans="11:59" ht="13.9" customHeight="1" x14ac:dyDescent="0.3">
      <c r="K512" s="13"/>
      <c r="L512" s="13"/>
      <c r="M512" s="87"/>
      <c r="N512" s="87"/>
      <c r="O512" s="87"/>
      <c r="P512" s="5"/>
      <c r="Q512" s="24"/>
      <c r="R512" s="244"/>
      <c r="S512" s="103" t="str">
        <f>B365</f>
        <v>Massanvaihdon ja mahdollisen aumakäsittelyn puhdistusvaiheen päättäminen</v>
      </c>
      <c r="T512" s="234"/>
      <c r="U512" s="234"/>
      <c r="V512" s="234"/>
      <c r="W512" s="234"/>
      <c r="X512" s="234"/>
      <c r="Y512" s="235"/>
      <c r="Z512" s="284" t="str">
        <f t="shared" ca="1" si="2"/>
        <v>--</v>
      </c>
      <c r="AA512" s="234"/>
      <c r="AB512" s="234"/>
      <c r="AC512" s="234"/>
      <c r="AD512" s="234"/>
      <c r="AN512" s="23"/>
      <c r="AO512" s="23"/>
      <c r="BF512" s="5"/>
      <c r="BG512" s="5"/>
    </row>
    <row r="513" spans="11:59" ht="13.9" customHeight="1" x14ac:dyDescent="0.3">
      <c r="K513" s="13"/>
      <c r="L513" s="13"/>
      <c r="M513" s="87"/>
      <c r="N513" s="87"/>
      <c r="O513" s="87"/>
      <c r="P513" s="5"/>
      <c r="Q513" s="24"/>
      <c r="R513" s="244"/>
      <c r="S513" s="291" t="str">
        <f>B369</f>
        <v>Rakenteiden purkaminen</v>
      </c>
      <c r="T513" s="288"/>
      <c r="U513" s="288"/>
      <c r="V513" s="288"/>
      <c r="W513" s="288" t="s">
        <v>655</v>
      </c>
      <c r="X513" s="288" t="s">
        <v>385</v>
      </c>
      <c r="Y513" s="289">
        <f>SUM(R372,R376,R380)</f>
        <v>0</v>
      </c>
      <c r="Z513" s="290" t="str">
        <f t="shared" ca="1" si="2"/>
        <v>--</v>
      </c>
      <c r="AA513" s="234"/>
      <c r="AB513" s="234"/>
      <c r="AC513" s="234"/>
      <c r="AD513" s="234"/>
      <c r="AN513" s="23"/>
      <c r="AO513" s="23"/>
      <c r="BF513" s="5"/>
      <c r="BG513" s="5"/>
    </row>
    <row r="514" spans="11:59" ht="13.9" customHeight="1" x14ac:dyDescent="0.3">
      <c r="K514" s="13"/>
      <c r="L514" s="13"/>
      <c r="M514" s="87"/>
      <c r="N514" s="87"/>
      <c r="O514" s="87"/>
      <c r="P514" s="5"/>
      <c r="Q514" s="24"/>
      <c r="R514" s="244"/>
      <c r="S514" s="291" t="str">
        <f>B384</f>
        <v>Poistettavien rakenteiden ja puhdistukseen päättämiseen liittyvien materiaalien kuljetukset</v>
      </c>
      <c r="T514" s="288"/>
      <c r="U514" s="288"/>
      <c r="V514" s="288"/>
      <c r="W514" s="288" t="s">
        <v>730</v>
      </c>
      <c r="X514" s="288" t="s">
        <v>385</v>
      </c>
      <c r="Y514" s="289">
        <f ca="1">SUM(Y515:Y516)</f>
        <v>0</v>
      </c>
      <c r="Z514" s="290" t="str">
        <f t="shared" ca="1" si="2"/>
        <v>--</v>
      </c>
      <c r="AA514" s="234"/>
      <c r="AB514" s="234"/>
      <c r="AC514" s="234"/>
      <c r="AD514" s="234"/>
      <c r="AN514" s="23"/>
      <c r="AO514" s="23"/>
      <c r="BF514" s="5"/>
      <c r="BG514" s="5"/>
    </row>
    <row r="515" spans="11:59" ht="13.9" customHeight="1" x14ac:dyDescent="0.3">
      <c r="K515" s="13"/>
      <c r="L515" s="13"/>
      <c r="M515" s="87"/>
      <c r="N515" s="87"/>
      <c r="O515" s="87"/>
      <c r="P515" s="5"/>
      <c r="Q515" s="24"/>
      <c r="R515" s="244"/>
      <c r="S515" s="252" t="s">
        <v>40</v>
      </c>
      <c r="T515" s="234"/>
      <c r="U515" s="234"/>
      <c r="V515" s="234"/>
      <c r="W515" s="234" t="s">
        <v>40</v>
      </c>
      <c r="X515" s="234" t="s">
        <v>385</v>
      </c>
      <c r="Y515" s="235">
        <f>SUM(AB387,AB392,AB397,AB402,AB407)</f>
        <v>0</v>
      </c>
      <c r="Z515" s="284" t="str">
        <f t="shared" ca="1" si="2"/>
        <v>--</v>
      </c>
      <c r="AA515" s="234"/>
      <c r="AB515" s="234"/>
      <c r="AC515" s="234"/>
      <c r="AD515" s="234"/>
      <c r="AN515" s="23"/>
      <c r="AO515" s="23"/>
      <c r="BF515" s="5"/>
      <c r="BG515" s="5"/>
    </row>
    <row r="516" spans="11:59" ht="13.9" customHeight="1" x14ac:dyDescent="0.3">
      <c r="K516" s="13"/>
      <c r="L516" s="13"/>
      <c r="M516" s="87"/>
      <c r="N516" s="87"/>
      <c r="O516" s="87"/>
      <c r="P516" s="5"/>
      <c r="Q516" s="24"/>
      <c r="R516" s="244"/>
      <c r="S516" s="252" t="s">
        <v>637</v>
      </c>
      <c r="T516" s="234"/>
      <c r="U516" s="234"/>
      <c r="V516" s="234"/>
      <c r="W516" s="234" t="s">
        <v>40</v>
      </c>
      <c r="X516" s="234" t="s">
        <v>385</v>
      </c>
      <c r="Y516" s="235">
        <f ca="1">SUM(AG387,AG392,AG397,AG402,AG407)</f>
        <v>0</v>
      </c>
      <c r="Z516" s="284" t="str">
        <f t="shared" ca="1" si="2"/>
        <v>--</v>
      </c>
      <c r="AA516" s="234"/>
      <c r="AB516" s="234"/>
      <c r="AC516" s="234"/>
      <c r="AD516" s="234"/>
      <c r="AN516" s="23"/>
      <c r="AO516" s="23"/>
      <c r="BF516" s="5"/>
      <c r="BG516" s="5"/>
    </row>
    <row r="517" spans="11:59" ht="13.9" customHeight="1" x14ac:dyDescent="0.3">
      <c r="K517" s="13"/>
      <c r="L517" s="13"/>
      <c r="M517" s="87"/>
      <c r="N517" s="87"/>
      <c r="O517" s="87"/>
      <c r="P517" s="5"/>
      <c r="Q517" s="24"/>
      <c r="R517" s="244"/>
      <c r="S517" s="212" t="str">
        <f>B414</f>
        <v>Jätteiden loppusijoitus</v>
      </c>
      <c r="T517" s="234"/>
      <c r="U517" s="234"/>
      <c r="V517" s="234"/>
      <c r="W517" s="234" t="s">
        <v>657</v>
      </c>
      <c r="X517" s="234" t="s">
        <v>385</v>
      </c>
      <c r="Y517" s="235"/>
      <c r="Z517" s="284" t="str">
        <f t="shared" ca="1" si="2"/>
        <v>--</v>
      </c>
      <c r="AA517" s="234"/>
      <c r="AB517" s="234"/>
      <c r="AC517" s="234"/>
      <c r="AD517" s="234"/>
      <c r="AN517" s="23"/>
      <c r="AO517" s="23"/>
      <c r="BF517" s="5"/>
      <c r="BG517" s="5"/>
    </row>
    <row r="518" spans="11:59" ht="13.9" customHeight="1" x14ac:dyDescent="0.3">
      <c r="K518" s="13"/>
      <c r="L518" s="13"/>
      <c r="M518" s="87"/>
      <c r="N518" s="87"/>
      <c r="O518" s="87"/>
      <c r="P518" s="5"/>
      <c r="Q518" s="24"/>
      <c r="R518" s="244"/>
      <c r="S518" s="292" t="str">
        <f>B416</f>
        <v>Poistettujen kertakäyttöisten rakenteiden ja materiaalien jatkokäsittely (pl. maa-ainekset)</v>
      </c>
      <c r="T518" s="288"/>
      <c r="U518" s="288"/>
      <c r="V518" s="288"/>
      <c r="W518" s="288" t="s">
        <v>657</v>
      </c>
      <c r="X518" s="288" t="s">
        <v>385</v>
      </c>
      <c r="Y518" s="289">
        <f>SUM(R418,R421,R424,R427,R430,R433)</f>
        <v>0</v>
      </c>
      <c r="Z518" s="290" t="str">
        <f t="shared" ca="1" si="2"/>
        <v>--</v>
      </c>
      <c r="AA518" s="234"/>
      <c r="AB518" s="234"/>
      <c r="AC518" s="234"/>
      <c r="AD518" s="234"/>
      <c r="AN518" s="23"/>
      <c r="AO518" s="23"/>
      <c r="BF518" s="5"/>
      <c r="BG518" s="5"/>
    </row>
    <row r="519" spans="11:59" ht="13.9" customHeight="1" x14ac:dyDescent="0.3">
      <c r="K519" s="13"/>
      <c r="L519" s="13"/>
      <c r="M519" s="87"/>
      <c r="N519" s="87"/>
      <c r="O519" s="87"/>
      <c r="P519" s="5"/>
      <c r="Q519" s="24"/>
      <c r="R519" s="244"/>
      <c r="S519" s="292" t="s">
        <v>671</v>
      </c>
      <c r="T519" s="288"/>
      <c r="U519" s="288"/>
      <c r="V519" s="288"/>
      <c r="W519" s="288" t="s">
        <v>642</v>
      </c>
      <c r="X519" s="288" t="s">
        <v>385</v>
      </c>
      <c r="Y519" s="289">
        <f>SUM(R426,R425,R422,R423,R428,R429,R431,R432,R434,R435)</f>
        <v>0</v>
      </c>
      <c r="Z519" s="290" t="str">
        <f t="shared" ca="1" si="2"/>
        <v>--</v>
      </c>
      <c r="AA519" s="234"/>
      <c r="AB519" s="234"/>
      <c r="AC519" s="234"/>
      <c r="AD519" s="234"/>
      <c r="AN519" s="23"/>
      <c r="AO519" s="23"/>
      <c r="BF519" s="5"/>
      <c r="BG519" s="5"/>
    </row>
    <row r="520" spans="11:59" ht="13.9" customHeight="1" x14ac:dyDescent="0.3">
      <c r="K520" s="13"/>
      <c r="L520" s="13"/>
      <c r="M520" s="87"/>
      <c r="N520" s="87"/>
      <c r="O520" s="87"/>
      <c r="P520" s="5"/>
      <c r="Q520" s="24"/>
      <c r="R520" s="244"/>
      <c r="S520" s="292" t="str">
        <f>B437</f>
        <v>Poistetun maan jatkokäsittely vastaanottopaikassa</v>
      </c>
      <c r="T520" s="288"/>
      <c r="U520" s="288"/>
      <c r="V520" s="288"/>
      <c r="W520" s="288" t="s">
        <v>657</v>
      </c>
      <c r="X520" s="288" t="s">
        <v>385</v>
      </c>
      <c r="Y520" s="289">
        <f>SUM(R439,R441)</f>
        <v>0</v>
      </c>
      <c r="Z520" s="290" t="str">
        <f t="shared" ca="1" si="2"/>
        <v>--</v>
      </c>
      <c r="AA520" s="234"/>
      <c r="AB520" s="234"/>
      <c r="AC520" s="234"/>
      <c r="AD520" s="234"/>
      <c r="AN520" s="23"/>
      <c r="AO520" s="23"/>
      <c r="BF520" s="5"/>
      <c r="BG520" s="5"/>
    </row>
    <row r="521" spans="11:59" ht="13.9" customHeight="1" x14ac:dyDescent="0.3">
      <c r="K521" s="13"/>
      <c r="L521" s="13"/>
      <c r="M521" s="87"/>
      <c r="N521" s="87"/>
      <c r="O521" s="87"/>
      <c r="P521" s="5"/>
      <c r="Q521" s="24"/>
      <c r="R521" s="244"/>
      <c r="S521" s="292" t="s">
        <v>672</v>
      </c>
      <c r="T521" s="288"/>
      <c r="U521" s="288"/>
      <c r="V521" s="288"/>
      <c r="W521" s="288" t="s">
        <v>642</v>
      </c>
      <c r="X521" s="288" t="s">
        <v>385</v>
      </c>
      <c r="Y521" s="289">
        <f>SUM(R442)</f>
        <v>0</v>
      </c>
      <c r="Z521" s="290" t="str">
        <f t="shared" ca="1" si="2"/>
        <v>--</v>
      </c>
      <c r="AA521" s="234"/>
      <c r="AB521" s="234"/>
      <c r="AC521" s="234"/>
      <c r="AD521" s="234"/>
      <c r="AN521" s="23"/>
      <c r="AO521" s="23"/>
      <c r="BF521" s="5"/>
      <c r="BG521" s="5"/>
    </row>
    <row r="522" spans="11:59" ht="13.9" customHeight="1" x14ac:dyDescent="0.3">
      <c r="K522" s="13"/>
      <c r="L522" s="13"/>
      <c r="M522" s="87"/>
      <c r="N522" s="87"/>
      <c r="O522" s="87"/>
      <c r="P522" s="5"/>
      <c r="Q522" s="24"/>
      <c r="R522" s="244"/>
      <c r="S522" s="23"/>
      <c r="T522" s="234"/>
      <c r="U522" s="234"/>
      <c r="V522" s="234"/>
      <c r="W522" s="234"/>
      <c r="X522" s="234"/>
      <c r="Y522" s="235"/>
      <c r="Z522" s="284"/>
      <c r="AA522" s="234"/>
      <c r="AB522" s="234"/>
      <c r="AC522" s="234"/>
      <c r="AD522" s="234"/>
      <c r="AN522" s="23"/>
      <c r="AO522" s="23"/>
      <c r="BF522" s="5"/>
      <c r="BG522" s="5"/>
    </row>
    <row r="523" spans="11:59" ht="13.9" customHeight="1" x14ac:dyDescent="0.3">
      <c r="K523" s="13"/>
      <c r="L523" s="13"/>
      <c r="M523" s="87"/>
      <c r="N523" s="87"/>
      <c r="O523" s="87"/>
      <c r="P523" s="5"/>
      <c r="Q523" s="24"/>
      <c r="R523" s="244"/>
      <c r="S523" s="23" t="s">
        <v>643</v>
      </c>
      <c r="T523" s="234"/>
      <c r="U523" s="234"/>
      <c r="V523" s="234"/>
      <c r="W523" s="234"/>
      <c r="X523" s="234"/>
      <c r="Y523" s="293">
        <f ca="1">SUM(Y524:Y525)</f>
        <v>0</v>
      </c>
      <c r="Z523" s="284">
        <f ca="1">SUM(Z524:Z525)</f>
        <v>0</v>
      </c>
      <c r="AA523" s="234"/>
      <c r="AB523" s="234"/>
      <c r="AC523" s="234"/>
      <c r="AD523" s="234"/>
      <c r="AN523" s="23"/>
      <c r="AO523" s="23"/>
      <c r="BF523" s="5"/>
      <c r="BG523" s="5"/>
    </row>
    <row r="524" spans="11:59" ht="13.9" customHeight="1" x14ac:dyDescent="0.3">
      <c r="K524" s="13"/>
      <c r="L524" s="13"/>
      <c r="M524" s="87"/>
      <c r="N524" s="87"/>
      <c r="O524" s="87"/>
      <c r="P524" s="5"/>
      <c r="Q524" s="24"/>
      <c r="R524" s="244"/>
      <c r="S524" s="212" t="s">
        <v>670</v>
      </c>
      <c r="T524" s="234"/>
      <c r="U524" s="234"/>
      <c r="V524" s="234"/>
      <c r="W524" s="234"/>
      <c r="X524" s="234"/>
      <c r="Y524" s="235">
        <f ca="1">SUM(Y466,Y473,Y482:Y485,Y488,Y489:Y497,Y479,Y478,Y518,Y513,Y514,Y520)</f>
        <v>0</v>
      </c>
      <c r="Z524" s="284">
        <f ca="1">SUM(Z466,Z473,Z482:Z485,Z488,Z489:Z497,Z479,Z478,Z518,Z513,Z514,Z520)</f>
        <v>0</v>
      </c>
      <c r="AA524" s="234"/>
      <c r="AB524" s="234"/>
      <c r="AC524" s="234"/>
      <c r="AD524" s="234"/>
      <c r="AN524" s="23"/>
      <c r="AO524" s="23"/>
      <c r="BF524" s="5"/>
      <c r="BG524" s="5"/>
    </row>
    <row r="525" spans="11:59" ht="13.9" customHeight="1" x14ac:dyDescent="0.3">
      <c r="K525" s="13"/>
      <c r="L525" s="13"/>
      <c r="M525" s="87"/>
      <c r="N525" s="87"/>
      <c r="O525" s="87"/>
      <c r="P525" s="5"/>
      <c r="Q525" s="24"/>
      <c r="R525" s="244"/>
      <c r="S525" s="212" t="s">
        <v>25</v>
      </c>
      <c r="T525" s="234"/>
      <c r="U525" s="234"/>
      <c r="V525" s="234"/>
      <c r="W525" s="234"/>
      <c r="X525" s="234"/>
      <c r="Y525" s="235">
        <f ca="1">SUM(Y503,Y506,Y507,Y508,Y509,Y510)</f>
        <v>0</v>
      </c>
      <c r="Z525" s="284">
        <f ca="1">SUM(Z503,Z506,Z507,Z508,Z509,Z510)</f>
        <v>0</v>
      </c>
      <c r="AA525" s="234"/>
      <c r="AB525" s="234"/>
      <c r="AC525" s="234"/>
      <c r="AD525" s="234"/>
      <c r="AN525" s="23"/>
      <c r="AO525" s="23"/>
      <c r="BF525" s="5"/>
      <c r="BG525" s="5"/>
    </row>
    <row r="526" spans="11:59" ht="13.9" customHeight="1" x14ac:dyDescent="0.3">
      <c r="K526" s="13"/>
      <c r="L526" s="13"/>
      <c r="M526" s="87"/>
      <c r="N526" s="87"/>
      <c r="O526" s="87"/>
      <c r="P526" s="5"/>
      <c r="Q526" s="24"/>
      <c r="R526" s="244"/>
      <c r="S526" s="103"/>
      <c r="T526" s="234"/>
      <c r="U526" s="234"/>
      <c r="V526" s="234"/>
      <c r="W526" s="234"/>
      <c r="X526" s="234"/>
      <c r="Y526" s="235"/>
      <c r="Z526" s="234"/>
      <c r="AA526" s="234"/>
      <c r="AB526" s="234"/>
      <c r="AC526" s="234"/>
      <c r="AD526" s="234"/>
      <c r="AN526" s="23"/>
      <c r="AO526" s="23"/>
      <c r="BF526" s="5"/>
      <c r="BG526" s="5"/>
    </row>
    <row r="527" spans="11:59" ht="13.9" customHeight="1" x14ac:dyDescent="0.3">
      <c r="K527" s="13"/>
      <c r="L527" s="13"/>
      <c r="M527" s="87"/>
      <c r="N527" s="87"/>
      <c r="O527" s="87"/>
      <c r="P527" s="5"/>
      <c r="Q527" s="24"/>
      <c r="R527" s="244"/>
      <c r="S527" s="103" t="s">
        <v>659</v>
      </c>
      <c r="T527" s="234"/>
      <c r="U527" s="234"/>
      <c r="V527" s="234"/>
      <c r="W527" s="234"/>
      <c r="X527" s="235"/>
      <c r="Y527" s="235">
        <f>SUM(Y477)</f>
        <v>0</v>
      </c>
      <c r="Z527" s="234"/>
      <c r="AA527" s="234"/>
      <c r="AB527" s="234"/>
      <c r="AC527" s="234"/>
      <c r="AD527" s="234"/>
      <c r="AN527" s="23"/>
      <c r="AO527" s="23"/>
      <c r="BF527" s="5"/>
      <c r="BG527" s="5"/>
    </row>
    <row r="528" spans="11:59" ht="13.9" customHeight="1" x14ac:dyDescent="0.3">
      <c r="K528" s="13"/>
      <c r="L528" s="13"/>
      <c r="M528" s="87"/>
      <c r="N528" s="87"/>
      <c r="O528" s="87"/>
      <c r="P528" s="5"/>
      <c r="Q528" s="24"/>
      <c r="R528" s="244"/>
      <c r="S528" s="103" t="s">
        <v>660</v>
      </c>
      <c r="T528" s="234"/>
      <c r="U528" s="234"/>
      <c r="V528" s="234"/>
      <c r="W528" s="234"/>
      <c r="X528" s="234"/>
      <c r="Y528" s="234" t="s">
        <v>661</v>
      </c>
      <c r="Z528" s="234"/>
      <c r="AA528" s="234"/>
      <c r="AB528" s="234"/>
      <c r="AC528" s="234"/>
      <c r="AD528" s="234"/>
      <c r="AN528" s="23"/>
      <c r="AO528" s="23"/>
      <c r="BF528" s="5"/>
      <c r="BG528" s="5"/>
    </row>
    <row r="529" spans="11:59" ht="13.9" customHeight="1" x14ac:dyDescent="0.3">
      <c r="K529" s="13"/>
      <c r="L529" s="13"/>
      <c r="M529" s="87"/>
      <c r="N529" s="87"/>
      <c r="O529" s="87"/>
      <c r="P529" s="5"/>
      <c r="Q529" s="24"/>
      <c r="R529" s="244"/>
      <c r="S529" s="22"/>
      <c r="T529" s="234"/>
      <c r="U529" s="234"/>
      <c r="V529" s="234"/>
      <c r="W529" s="234"/>
      <c r="X529" s="234"/>
      <c r="Y529" s="234"/>
      <c r="Z529" s="234"/>
      <c r="AA529" s="234"/>
      <c r="AB529" s="234"/>
      <c r="AC529" s="234"/>
      <c r="AD529" s="234"/>
      <c r="AN529" s="23"/>
      <c r="AO529" s="23"/>
      <c r="BF529" s="5"/>
      <c r="BG529" s="5"/>
    </row>
    <row r="530" spans="11:59" ht="13.9" customHeight="1" x14ac:dyDescent="0.3">
      <c r="K530" s="13"/>
      <c r="L530" s="13"/>
      <c r="M530" s="87"/>
      <c r="N530" s="87"/>
      <c r="O530" s="87"/>
      <c r="P530" s="5"/>
      <c r="Q530" s="24"/>
      <c r="R530" s="244"/>
      <c r="S530" s="103" t="s">
        <v>386</v>
      </c>
      <c r="T530" s="234"/>
      <c r="U530" s="234"/>
      <c r="V530" s="234"/>
      <c r="W530" s="234"/>
      <c r="X530" s="234"/>
      <c r="Y530" s="235">
        <f>SUM(Y521,Y519,Y483)</f>
        <v>0</v>
      </c>
      <c r="Z530" s="234"/>
      <c r="AA530" s="234"/>
      <c r="AB530" s="234"/>
      <c r="AC530" s="234"/>
      <c r="AD530" s="234"/>
      <c r="AN530" s="23"/>
      <c r="AO530" s="23"/>
      <c r="BF530" s="5"/>
      <c r="BG530" s="5"/>
    </row>
    <row r="531" spans="11:59" ht="13.9" customHeight="1" x14ac:dyDescent="0.3">
      <c r="K531" s="13"/>
      <c r="L531" s="13"/>
      <c r="M531" s="87"/>
      <c r="N531" s="87"/>
      <c r="O531" s="87"/>
      <c r="P531" s="5"/>
      <c r="Q531" s="24"/>
      <c r="R531" s="244"/>
      <c r="S531" s="22"/>
      <c r="T531" s="234"/>
      <c r="U531" s="234"/>
      <c r="V531" s="234"/>
      <c r="W531" s="234"/>
      <c r="X531" s="234"/>
      <c r="Y531" s="234"/>
      <c r="Z531" s="234"/>
      <c r="AA531" s="234"/>
      <c r="AB531" s="234"/>
      <c r="AC531" s="234"/>
      <c r="AD531" s="234"/>
      <c r="AN531" s="23"/>
      <c r="AO531" s="23"/>
      <c r="BF531" s="5"/>
      <c r="BG531" s="5"/>
    </row>
    <row r="532" spans="11:59" ht="13.9" customHeight="1" x14ac:dyDescent="0.3">
      <c r="K532" s="13"/>
      <c r="L532" s="13"/>
      <c r="M532" s="87"/>
      <c r="N532" s="87"/>
      <c r="O532" s="87"/>
      <c r="P532" s="5"/>
      <c r="Q532" s="24"/>
      <c r="R532" s="244"/>
      <c r="S532" s="103" t="s">
        <v>654</v>
      </c>
      <c r="T532" s="234"/>
      <c r="U532" s="235">
        <f>SUMIFS($Y$466:$Y$521,$W$466:$W$521,S532)</f>
        <v>0</v>
      </c>
      <c r="V532" s="284" t="str">
        <f ca="1">IF(ISERROR(U532/U538),"--",U532/Y524)</f>
        <v>--</v>
      </c>
      <c r="W532" s="234"/>
      <c r="X532" s="234"/>
      <c r="Y532" s="234"/>
      <c r="Z532" s="234"/>
      <c r="AA532" s="234"/>
      <c r="AB532" s="234"/>
      <c r="AC532" s="234"/>
      <c r="AD532" s="234"/>
      <c r="AN532" s="23"/>
      <c r="AO532" s="23"/>
      <c r="BF532" s="5"/>
      <c r="BG532" s="5"/>
    </row>
    <row r="533" spans="11:59" ht="13.9" customHeight="1" x14ac:dyDescent="0.3">
      <c r="K533" s="13"/>
      <c r="L533" s="13"/>
      <c r="M533" s="87"/>
      <c r="N533" s="87"/>
      <c r="O533" s="87"/>
      <c r="P533" s="5"/>
      <c r="Q533" s="24"/>
      <c r="R533" s="244"/>
      <c r="S533" s="103" t="s">
        <v>40</v>
      </c>
      <c r="T533" s="234"/>
      <c r="U533" s="235">
        <f t="shared" ref="U533:U537" ca="1" si="3">SUMIFS($Y$466:$Y$521,$W$466:$W$521,S533)</f>
        <v>0</v>
      </c>
      <c r="V533" s="284" t="str">
        <f ca="1">IF(ISERROR(U533/U538),"--",U533/Y524)</f>
        <v>--</v>
      </c>
      <c r="W533" s="234"/>
      <c r="X533" s="234"/>
      <c r="Y533" s="234"/>
      <c r="Z533" s="234"/>
      <c r="AA533" s="234"/>
      <c r="AB533" s="234"/>
      <c r="AC533" s="234"/>
      <c r="AD533" s="234"/>
      <c r="AN533" s="23"/>
      <c r="AO533" s="23"/>
      <c r="BF533" s="5"/>
      <c r="BG533" s="5"/>
    </row>
    <row r="534" spans="11:59" ht="13.9" customHeight="1" x14ac:dyDescent="0.3">
      <c r="K534" s="13"/>
      <c r="L534" s="13"/>
      <c r="M534" s="87"/>
      <c r="N534" s="87"/>
      <c r="O534" s="87"/>
      <c r="P534" s="5"/>
      <c r="Q534" s="24"/>
      <c r="R534" s="244"/>
      <c r="S534" s="103" t="s">
        <v>655</v>
      </c>
      <c r="T534" s="234"/>
      <c r="U534" s="235">
        <f t="shared" si="3"/>
        <v>0</v>
      </c>
      <c r="V534" s="284" t="str">
        <f ca="1">IF(ISERROR(U534/U538),"--",U534/Y524)</f>
        <v>--</v>
      </c>
      <c r="W534" s="234"/>
      <c r="X534" s="234"/>
      <c r="Y534" s="234"/>
      <c r="Z534" s="234"/>
      <c r="AA534" s="234"/>
      <c r="AB534" s="234"/>
      <c r="AC534" s="234"/>
      <c r="AD534" s="234"/>
      <c r="AN534" s="23"/>
      <c r="AO534" s="23"/>
      <c r="BF534" s="5"/>
      <c r="BG534" s="5"/>
    </row>
    <row r="535" spans="11:59" ht="13.9" customHeight="1" x14ac:dyDescent="0.3">
      <c r="K535" s="13"/>
      <c r="L535" s="13"/>
      <c r="M535" s="87"/>
      <c r="N535" s="87"/>
      <c r="O535" s="87"/>
      <c r="P535" s="5"/>
      <c r="Q535" s="24"/>
      <c r="R535" s="244"/>
      <c r="S535" s="103" t="s">
        <v>656</v>
      </c>
      <c r="T535" s="234"/>
      <c r="U535" s="234">
        <f t="shared" si="3"/>
        <v>0</v>
      </c>
      <c r="V535" s="284" t="str">
        <f ca="1">IF(ISERROR(U535/U538),"--",U535/Y524)</f>
        <v>--</v>
      </c>
      <c r="W535" s="234"/>
      <c r="X535" s="234"/>
      <c r="Y535" s="234"/>
      <c r="Z535" s="234"/>
      <c r="AA535" s="234"/>
      <c r="AB535" s="234"/>
      <c r="AC535" s="234"/>
      <c r="AD535" s="234"/>
      <c r="AN535" s="23"/>
      <c r="AO535" s="23"/>
      <c r="BF535" s="5"/>
      <c r="BG535" s="5"/>
    </row>
    <row r="536" spans="11:59" ht="13.9" customHeight="1" x14ac:dyDescent="0.3">
      <c r="K536" s="13"/>
      <c r="L536" s="13"/>
      <c r="M536" s="87"/>
      <c r="N536" s="87"/>
      <c r="O536" s="87"/>
      <c r="P536" s="5"/>
      <c r="Q536" s="24"/>
      <c r="R536" s="244"/>
      <c r="S536" s="103" t="s">
        <v>657</v>
      </c>
      <c r="T536" s="234"/>
      <c r="U536" s="235">
        <f t="shared" si="3"/>
        <v>0</v>
      </c>
      <c r="V536" s="284" t="str">
        <f ca="1">IF(ISERROR(U536/U538),"--",U536/Y524)</f>
        <v>--</v>
      </c>
      <c r="W536" s="234"/>
      <c r="X536" s="234"/>
      <c r="Y536" s="234"/>
      <c r="Z536" s="234"/>
      <c r="AA536" s="234"/>
      <c r="AB536" s="234"/>
      <c r="AC536" s="234"/>
      <c r="AD536" s="234"/>
      <c r="AN536" s="23"/>
      <c r="AO536" s="23"/>
      <c r="BF536" s="5"/>
      <c r="BG536" s="5"/>
    </row>
    <row r="537" spans="11:59" ht="13.9" customHeight="1" x14ac:dyDescent="0.3">
      <c r="K537" s="13"/>
      <c r="L537" s="13"/>
      <c r="M537" s="87"/>
      <c r="N537" s="87"/>
      <c r="O537" s="87"/>
      <c r="P537" s="5"/>
      <c r="Q537" s="24"/>
      <c r="R537" s="244"/>
      <c r="S537" s="103" t="s">
        <v>663</v>
      </c>
      <c r="T537" s="234"/>
      <c r="U537" s="235">
        <f t="shared" si="3"/>
        <v>0</v>
      </c>
      <c r="V537" s="284" t="str">
        <f ca="1">IF(ISERROR(U537/U538),"--",U537/Y524)</f>
        <v>--</v>
      </c>
      <c r="W537" s="234"/>
      <c r="X537" s="234"/>
      <c r="Y537" s="234"/>
      <c r="Z537" s="234"/>
      <c r="AA537" s="234"/>
      <c r="AB537" s="234"/>
      <c r="AC537" s="234"/>
      <c r="AD537" s="234"/>
      <c r="AN537" s="23"/>
      <c r="AO537" s="23"/>
      <c r="BF537" s="5"/>
      <c r="BG537" s="5"/>
    </row>
    <row r="538" spans="11:59" ht="13.9" customHeight="1" x14ac:dyDescent="0.3">
      <c r="K538" s="13"/>
      <c r="L538" s="13"/>
      <c r="M538" s="87"/>
      <c r="N538" s="87"/>
      <c r="O538" s="87"/>
      <c r="P538" s="5"/>
      <c r="Q538" s="24"/>
      <c r="R538" s="244"/>
      <c r="S538" s="103" t="s">
        <v>667</v>
      </c>
      <c r="T538" s="234"/>
      <c r="U538" s="235">
        <f ca="1">SUM(U532:U537)</f>
        <v>0</v>
      </c>
      <c r="V538" s="284" t="str">
        <f ca="1">IF(ISERROR(U538/U538),"--",U538/Y524)</f>
        <v>--</v>
      </c>
      <c r="W538" s="234"/>
      <c r="X538" s="234"/>
      <c r="Y538" s="234"/>
      <c r="Z538" s="234"/>
      <c r="AA538" s="234"/>
      <c r="AB538" s="234"/>
      <c r="AC538" s="234"/>
      <c r="AD538" s="234"/>
      <c r="AN538" s="23"/>
      <c r="AO538" s="23"/>
      <c r="BF538" s="5"/>
      <c r="BG538" s="5"/>
    </row>
  </sheetData>
  <mergeCells count="105">
    <mergeCell ref="C238:G238"/>
    <mergeCell ref="C240:D240"/>
    <mergeCell ref="C241:D241"/>
    <mergeCell ref="C242:D242"/>
    <mergeCell ref="C230:G230"/>
    <mergeCell ref="C232:D232"/>
    <mergeCell ref="C233:D233"/>
    <mergeCell ref="C234:D234"/>
    <mergeCell ref="C237:D237"/>
    <mergeCell ref="C195:D195"/>
    <mergeCell ref="B200:H200"/>
    <mergeCell ref="B201:H201"/>
    <mergeCell ref="C205:D205"/>
    <mergeCell ref="C222:G222"/>
    <mergeCell ref="C224:D224"/>
    <mergeCell ref="C225:D225"/>
    <mergeCell ref="C226:D226"/>
    <mergeCell ref="C229:D229"/>
    <mergeCell ref="C214:G214"/>
    <mergeCell ref="C216:D216"/>
    <mergeCell ref="C217:D217"/>
    <mergeCell ref="C218:D218"/>
    <mergeCell ref="C221:D221"/>
    <mergeCell ref="C189:D189"/>
    <mergeCell ref="C183:D183"/>
    <mergeCell ref="C186:D186"/>
    <mergeCell ref="C327:D327"/>
    <mergeCell ref="C328:D328"/>
    <mergeCell ref="C331:D331"/>
    <mergeCell ref="B294:H294"/>
    <mergeCell ref="B295:H295"/>
    <mergeCell ref="C303:D303"/>
    <mergeCell ref="C304:D304"/>
    <mergeCell ref="C307:D307"/>
    <mergeCell ref="C308:G308"/>
    <mergeCell ref="C310:D310"/>
    <mergeCell ref="C311:D311"/>
    <mergeCell ref="C312:D312"/>
    <mergeCell ref="C315:D315"/>
    <mergeCell ref="C267:G267"/>
    <mergeCell ref="C272:D272"/>
    <mergeCell ref="C206:G206"/>
    <mergeCell ref="C208:D208"/>
    <mergeCell ref="C209:D209"/>
    <mergeCell ref="C210:D210"/>
    <mergeCell ref="C213:D213"/>
    <mergeCell ref="C192:D192"/>
    <mergeCell ref="C363:D363"/>
    <mergeCell ref="C450:D450"/>
    <mergeCell ref="C277:D277"/>
    <mergeCell ref="C280:D280"/>
    <mergeCell ref="C283:D283"/>
    <mergeCell ref="C286:D286"/>
    <mergeCell ref="C289:D289"/>
    <mergeCell ref="C332:G332"/>
    <mergeCell ref="C334:D334"/>
    <mergeCell ref="C335:D335"/>
    <mergeCell ref="C336:D336"/>
    <mergeCell ref="C324:G324"/>
    <mergeCell ref="C326:D326"/>
    <mergeCell ref="C318:D318"/>
    <mergeCell ref="C319:D319"/>
    <mergeCell ref="C398:G398"/>
    <mergeCell ref="C316:G316"/>
    <mergeCell ref="C403:G403"/>
    <mergeCell ref="C408:G408"/>
    <mergeCell ref="C299:D299"/>
    <mergeCell ref="C300:G300"/>
    <mergeCell ref="C302:D302"/>
    <mergeCell ref="C320:D320"/>
    <mergeCell ref="C323:D323"/>
    <mergeCell ref="C155:G155"/>
    <mergeCell ref="C115:G115"/>
    <mergeCell ref="C40:G40"/>
    <mergeCell ref="C138:G138"/>
    <mergeCell ref="C140:G140"/>
    <mergeCell ref="C149:G149"/>
    <mergeCell ref="C100:G100"/>
    <mergeCell ref="C105:G105"/>
    <mergeCell ref="C110:G110"/>
    <mergeCell ref="C124:G124"/>
    <mergeCell ref="C351:G351"/>
    <mergeCell ref="C372:G372"/>
    <mergeCell ref="C376:G376"/>
    <mergeCell ref="C380:G380"/>
    <mergeCell ref="C346:G346"/>
    <mergeCell ref="C341:G341"/>
    <mergeCell ref="C388:G388"/>
    <mergeCell ref="C393:G393"/>
    <mergeCell ref="C11:G11"/>
    <mergeCell ref="C16:G16"/>
    <mergeCell ref="C21:G21"/>
    <mergeCell ref="C257:G257"/>
    <mergeCell ref="C262:G262"/>
    <mergeCell ref="C131:G131"/>
    <mergeCell ref="C48:G48"/>
    <mergeCell ref="C53:G53"/>
    <mergeCell ref="C58:G58"/>
    <mergeCell ref="C63:G63"/>
    <mergeCell ref="C95:G95"/>
    <mergeCell ref="C68:G68"/>
    <mergeCell ref="C26:D26"/>
    <mergeCell ref="C72:D72"/>
    <mergeCell ref="C119:D119"/>
    <mergeCell ref="C168:D168"/>
  </mergeCells>
  <conditionalFormatting sqref="G47">
    <cfRule type="expression" dxfId="170" priority="29">
      <formula>(D47="t")</formula>
    </cfRule>
  </conditionalFormatting>
  <conditionalFormatting sqref="G52">
    <cfRule type="expression" dxfId="169" priority="28">
      <formula>(D52="t")</formula>
    </cfRule>
  </conditionalFormatting>
  <conditionalFormatting sqref="G57">
    <cfRule type="expression" dxfId="168" priority="27">
      <formula>(D57="t")</formula>
    </cfRule>
  </conditionalFormatting>
  <conditionalFormatting sqref="G62">
    <cfRule type="expression" dxfId="167" priority="26">
      <formula>(D62="t")</formula>
    </cfRule>
  </conditionalFormatting>
  <conditionalFormatting sqref="G67">
    <cfRule type="expression" dxfId="166" priority="25">
      <formula>(D67="t")</formula>
    </cfRule>
  </conditionalFormatting>
  <conditionalFormatting sqref="G137">
    <cfRule type="expression" dxfId="165" priority="142">
      <formula>(D138="t")</formula>
    </cfRule>
  </conditionalFormatting>
  <conditionalFormatting sqref="G387">
    <cfRule type="expression" dxfId="164" priority="37">
      <formula>(D387="t")</formula>
    </cfRule>
  </conditionalFormatting>
  <conditionalFormatting sqref="G392">
    <cfRule type="expression" dxfId="163" priority="21">
      <formula>(D392="t")</formula>
    </cfRule>
  </conditionalFormatting>
  <conditionalFormatting sqref="G397">
    <cfRule type="expression" dxfId="162" priority="19">
      <formula>(D397="t")</formula>
    </cfRule>
  </conditionalFormatting>
  <conditionalFormatting sqref="G402">
    <cfRule type="expression" dxfId="161" priority="18">
      <formula>(D402="t")</formula>
    </cfRule>
  </conditionalFormatting>
  <conditionalFormatting sqref="G407">
    <cfRule type="expression" dxfId="160" priority="33">
      <formula>(D407="t")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&amp;L&amp;"-,Lihavoitu"&amp;12PIIP-laskentatyökalu&amp;RMassanvaihto ja aumakäsittely
Sivu &amp;P/&amp;N</oddHeader>
    <oddFooter>&amp;L&amp;G&amp;R&amp;G</oddFooter>
  </headerFooter>
  <ignoredErrors>
    <ignoredError sqref="K424 R424 K427 R427 K430 R430 K433 R433"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6" id="{970407C3-6A9E-4541-909E-BDC6590ED0D3}">
            <xm:f>$C$138=Pudotusvalikot!$D$68</xm:f>
            <x14:dxf>
              <fill>
                <patternFill>
                  <bgColor theme="2" tint="0.59996337778862885"/>
                </patternFill>
              </fill>
            </x14:dxf>
          </x14:cfRule>
          <xm:sqref>L39</xm:sqref>
        </x14:conditionalFormatting>
        <x14:conditionalFormatting xmlns:xm="http://schemas.microsoft.com/office/excel/2006/main">
          <x14:cfRule type="expression" priority="39" id="{762B146B-F034-4ADB-B4ED-06148DE261F6}">
            <xm:f>$C$55=Pudotusvalikot!$D$68</xm:f>
            <x14:dxf>
              <fill>
                <patternFill>
                  <bgColor theme="2" tint="0.59996337778862885"/>
                </patternFill>
              </fill>
            </x14:dxf>
          </x14:cfRule>
          <xm:sqref>L76 L78:L79 L248 L250:L251 L363:L364 L441:L442 L450:L451</xm:sqref>
        </x14:conditionalFormatting>
        <x14:conditionalFormatting xmlns:xm="http://schemas.microsoft.com/office/excel/2006/main">
          <x14:cfRule type="expression" priority="144" id="{19144C1C-3564-408D-A773-689C64450BA5}">
            <xm:f>$C$40=Pudotusvalikot!$D$68</xm:f>
            <x14:dxf>
              <fill>
                <patternFill>
                  <bgColor theme="2" tint="0.59996337778862885"/>
                </patternFill>
              </fill>
            </x14:dxf>
          </x14:cfRule>
          <xm:sqref>L123</xm:sqref>
        </x14:conditionalFormatting>
        <x14:conditionalFormatting xmlns:xm="http://schemas.microsoft.com/office/excel/2006/main">
          <x14:cfRule type="expression" priority="45" id="{B59B8EA5-2B4C-489E-99B5-B3D171ADF466}">
            <xm:f>$C$138=Pudotusvalikot!$D$68</xm:f>
            <x14:dxf>
              <fill>
                <patternFill>
                  <bgColor theme="2" tint="0.59996337778862885"/>
                </patternFill>
              </fill>
            </x14:dxf>
          </x14:cfRule>
          <xm:sqref>L130</xm:sqref>
        </x14:conditionalFormatting>
        <x14:conditionalFormatting xmlns:xm="http://schemas.microsoft.com/office/excel/2006/main">
          <x14:cfRule type="expression" priority="141" id="{954D0675-2178-4964-A6DA-B37676EF39A2}">
            <xm:f>$C$131=Pudotusvalikot!$D$68</xm:f>
            <x14:dxf>
              <fill>
                <patternFill>
                  <bgColor theme="2" tint="0.59996337778862885"/>
                </patternFill>
              </fill>
            </x14:dxf>
          </x14:cfRule>
          <xm:sqref>L138 L161 L163 L345 L350</xm:sqref>
        </x14:conditionalFormatting>
        <x14:conditionalFormatting xmlns:xm="http://schemas.microsoft.com/office/excel/2006/main">
          <x14:cfRule type="expression" priority="44" id="{59C572E4-82B2-4DAB-B187-211C16789721}">
            <xm:f>$C$56=Pudotusvalikot!$D$68</xm:f>
            <x14:dxf>
              <fill>
                <patternFill>
                  <bgColor theme="2" tint="0.59996337778862885"/>
                </patternFill>
              </fill>
            </x14:dxf>
          </x14:cfRule>
          <xm:sqref>L148</xm:sqref>
        </x14:conditionalFormatting>
        <x14:conditionalFormatting xmlns:xm="http://schemas.microsoft.com/office/excel/2006/main">
          <x14:cfRule type="expression" priority="43" id="{35B0A7CC-DB45-49BC-9B82-757993E80B3E}">
            <xm:f>$C$56=Pudotusvalikot!$D$68</xm:f>
            <x14:dxf>
              <fill>
                <patternFill>
                  <bgColor theme="2" tint="0.59996337778862885"/>
                </patternFill>
              </fill>
            </x14:dxf>
          </x14:cfRule>
          <xm:sqref>L154</xm:sqref>
        </x14:conditionalFormatting>
        <x14:conditionalFormatting xmlns:xm="http://schemas.microsoft.com/office/excel/2006/main">
          <x14:cfRule type="expression" priority="42" id="{04AC2308-09FE-4E4D-8E65-69ED44F3E1F7}">
            <xm:f>#REF!=Pudotusvalikot!$D$68</xm:f>
            <x14:dxf>
              <fill>
                <patternFill>
                  <bgColor theme="2" tint="0.59996337778862885"/>
                </patternFill>
              </fill>
            </x14:dxf>
          </x14:cfRule>
          <xm:sqref>L168:L169</xm:sqref>
        </x14:conditionalFormatting>
        <x14:conditionalFormatting xmlns:xm="http://schemas.microsoft.com/office/excel/2006/main">
          <x14:cfRule type="expression" priority="23" id="{3C97F1A0-BD51-48E7-9759-1059A2A69873}">
            <xm:f>#REF!=Pudotusvalikot!$D$68</xm:f>
            <x14:dxf>
              <fill>
                <patternFill>
                  <bgColor theme="2" tint="0.59996337778862885"/>
                </patternFill>
              </fill>
            </x14:dxf>
          </x14:cfRule>
          <xm:sqref>L176</xm:sqref>
        </x14:conditionalFormatting>
        <x14:conditionalFormatting xmlns:xm="http://schemas.microsoft.com/office/excel/2006/main">
          <x14:cfRule type="expression" priority="31" id="{BB21B9F1-4917-4FE2-80AC-183655FAF3C7}">
            <xm:f>$C$55=Pudotusvalikot!$D$68</xm:f>
            <x14:dxf>
              <fill>
                <patternFill>
                  <bgColor theme="2" tint="0.59996337778862885"/>
                </patternFill>
              </fill>
            </x14:dxf>
          </x14:cfRule>
          <xm:sqref>L246</xm:sqref>
        </x14:conditionalFormatting>
        <x14:conditionalFormatting xmlns:xm="http://schemas.microsoft.com/office/excel/2006/main">
          <x14:cfRule type="expression" priority="72" id="{D26FEAD7-82B2-45E2-852D-37FF9E3D7DF2}">
            <xm:f>$C$131=Pudotusvalikot!$D$68</xm:f>
            <x14:dxf>
              <fill>
                <patternFill>
                  <bgColor theme="2" tint="0.59996337778862885"/>
                </patternFill>
              </fill>
            </x14:dxf>
          </x14:cfRule>
          <xm:sqref>L340</xm:sqref>
        </x14:conditionalFormatting>
        <x14:conditionalFormatting xmlns:xm="http://schemas.microsoft.com/office/excel/2006/main">
          <x14:cfRule type="expression" priority="22" id="{F2698134-370D-492B-AC7B-30E86274762E}">
            <xm:f>#REF!=Pudotusvalikot!$D$68</xm:f>
            <x14:dxf>
              <fill>
                <patternFill>
                  <bgColor theme="2" tint="0.59996337778862885"/>
                </patternFill>
              </fill>
            </x14:dxf>
          </x14:cfRule>
          <xm:sqref>L355</xm:sqref>
        </x14:conditionalFormatting>
        <x14:conditionalFormatting xmlns:xm="http://schemas.microsoft.com/office/excel/2006/main">
          <x14:cfRule type="expression" priority="4" id="{22C7B799-C5B4-4E58-BC9A-A6948E8E239D}">
            <xm:f>$C$55=Pudotusvalikot!$D$68</xm:f>
            <x14:dxf>
              <fill>
                <patternFill>
                  <bgColor theme="2" tint="0.59996337778862885"/>
                </patternFill>
              </fill>
            </x14:dxf>
          </x14:cfRule>
          <xm:sqref>L361</xm:sqref>
        </x14:conditionalFormatting>
        <x14:conditionalFormatting xmlns:xm="http://schemas.microsoft.com/office/excel/2006/main">
          <x14:cfRule type="expression" priority="38" id="{09D997E2-C2E5-4715-91DD-046CE6CEBFAE}">
            <xm:f>#REF!=Pudotusvalikot!$D$68</xm:f>
            <x14:dxf>
              <fill>
                <patternFill>
                  <bgColor theme="2" tint="0.59996337778862885"/>
                </patternFill>
              </fill>
            </x14:dxf>
          </x14:cfRule>
          <xm:sqref>L372 L376 L380</xm:sqref>
        </x14:conditionalFormatting>
        <x14:conditionalFormatting xmlns:xm="http://schemas.microsoft.com/office/excel/2006/main">
          <x14:cfRule type="expression" priority="17" id="{80C0AF6F-6F03-4F7B-871B-BEBA36C242AF}">
            <xm:f>$C$55=Pudotusvalikot!$D$68</xm:f>
            <x14:dxf>
              <fill>
                <patternFill>
                  <bgColor theme="2" tint="0.59996337778862885"/>
                </patternFill>
              </fill>
            </x14:dxf>
          </x14:cfRule>
          <xm:sqref>L418</xm:sqref>
        </x14:conditionalFormatting>
        <x14:conditionalFormatting xmlns:xm="http://schemas.microsoft.com/office/excel/2006/main">
          <x14:cfRule type="expression" priority="7" id="{D94CEE8B-DE1E-4488-8487-0AE983CB6853}">
            <xm:f>$C$55=Pudotusvalikot!$D$68</xm:f>
            <x14:dxf>
              <fill>
                <patternFill>
                  <bgColor theme="2" tint="0.59996337778862885"/>
                </patternFill>
              </fill>
            </x14:dxf>
          </x14:cfRule>
          <xm:sqref>L421:L435</xm:sqref>
        </x14:conditionalFormatting>
        <x14:conditionalFormatting xmlns:xm="http://schemas.microsoft.com/office/excel/2006/main">
          <x14:cfRule type="expression" priority="16" id="{EB973E82-BF99-4DAF-A1DA-EA16C8CD49D1}">
            <xm:f>$C$55=Pudotusvalikot!$D$68</xm:f>
            <x14:dxf>
              <fill>
                <patternFill>
                  <bgColor theme="2" tint="0.59996337778862885"/>
                </patternFill>
              </fill>
            </x14:dxf>
          </x14:cfRule>
          <xm:sqref>L439</xm:sqref>
        </x14:conditionalFormatting>
        <x14:conditionalFormatting xmlns:xm="http://schemas.microsoft.com/office/excel/2006/main">
          <x14:cfRule type="expression" priority="2" id="{D8605CDA-073F-487D-8C44-FF00373190B2}">
            <xm:f>$C$55=Pudotusvalikot!$D$68</xm:f>
            <x14:dxf>
              <fill>
                <patternFill>
                  <bgColor theme="2" tint="0.59996337778862885"/>
                </patternFill>
              </fill>
            </x14:dxf>
          </x14:cfRule>
          <xm:sqref>L448</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31625B99-7FD2-43A2-96A6-5E60AD1316C3}">
          <x14:formula1>
            <xm:f>Pudotusvalikot!$D$14:$D$65</xm:f>
          </x14:formula1>
          <xm:sqref>C408 C332 C53 C58 C63 C21 C388 C393 C398 C100 C105 C110 C68 C95 C16 C11 C48 C262 C257 C138 C300 C324 C316 C308 C403 C267 C115 C238 C206 C230 C222 C214</xm:sqref>
        </x14:dataValidation>
        <x14:dataValidation type="list" errorStyle="warning" allowBlank="1" showInputMessage="1" showErrorMessage="1" xr:uid="{878C87E9-69BF-4F2C-A4B9-773405E654BF}">
          <x14:formula1>
            <xm:f>Pudotusvalikot!$B$3:$B$5</xm:f>
          </x14:formula1>
          <xm:sqref>C272 C26 C119 C72 C411:C413</xm:sqref>
        </x14:dataValidation>
        <x14:dataValidation type="list" allowBlank="1" showInputMessage="1" showErrorMessage="1" xr:uid="{59E18505-3E66-40D2-A66F-F6E8D424D44A}">
          <x14:formula1>
            <xm:f>Pudotusvalikot!$D$67:$D$92</xm:f>
          </x14:formula1>
          <xm:sqref>C346 C380 C372 C351 C341 C376</xm:sqref>
        </x14:dataValidation>
        <x14:dataValidation type="list" allowBlank="1" showInputMessage="1" showErrorMessage="1" xr:uid="{DB1ED9FA-05BF-4980-9E77-73B62955E42B}">
          <x14:formula1>
            <xm:f>Pudotusvalikot!$D$67:$D$106</xm:f>
          </x14:formula1>
          <xm:sqref>C40 C155 C140 C149 C124 C131</xm:sqref>
        </x14:dataValidation>
        <x14:dataValidation type="list" allowBlank="1" showInputMessage="1" showErrorMessage="1" xr:uid="{D87717BD-1F16-4A6F-B1B2-1DF1FCA37EAC}">
          <x14:formula1>
            <xm:f>Pudotusvalikot!$H$3:$H$8</xm:f>
          </x14:formula1>
          <xm:sqref>D143:F143 F42 D126 D133:F133 D353 D343 D348 D42 F158 D157:D158 D151</xm:sqref>
        </x14:dataValidation>
        <x14:dataValidation type="list" allowBlank="1" showInputMessage="1" showErrorMessage="1" xr:uid="{A342A965-BEDD-42E7-B92D-B289315E3389}">
          <x14:formula1>
            <xm:f>Pudotusvalikot!$J$3:$J$11</xm:f>
          </x14:formula1>
          <xm:sqref>C250:C251 C450:C451 C363:C364</xm:sqref>
        </x14:dataValidation>
        <x14:dataValidation type="list" allowBlank="1" showInputMessage="1" showErrorMessage="1" xr:uid="{8E610A34-BAC0-4461-A231-F0CF7E05468E}">
          <x14:formula1>
            <xm:f>Pudotusvalikot!$N$3:$N$7</xm:f>
          </x14:formula1>
          <xm:sqref>C302:C304 C310:C312 C326:C328 C318:C320 C334:C336 C208:C210 C216:C218 C232:C234 C224:C226 C240:C242</xm:sqref>
        </x14:dataValidation>
        <x14:dataValidation type="list" allowBlank="1" showInputMessage="1" showErrorMessage="1" xr:uid="{25FC8515-90F8-4528-9D01-73F47261E08F}">
          <x14:formula1>
            <xm:f>Pudotusvalikot!$R$3:$R$11</xm:f>
          </x14:formula1>
          <xm:sqref>C168</xm:sqref>
        </x14:dataValidation>
        <x14:dataValidation type="list" allowBlank="1" showInputMessage="1" showErrorMessage="1" xr:uid="{2246051A-2588-4AAC-898D-5FF2ED74B9FD}">
          <x14:formula1>
            <xm:f>Pudotusvalikot!$T$3:$T$7</xm:f>
          </x14:formula1>
          <xm:sqref>D170</xm:sqref>
        </x14:dataValidation>
        <x14:dataValidation type="list" errorStyle="warning" allowBlank="1" showInputMessage="1" showErrorMessage="1" xr:uid="{A98432A3-221C-432D-86B6-A21ADD5F4A89}">
          <x14:formula1>
            <xm:f>Pudotusvalikot!$N$14:$N$31</xm:f>
          </x14:formula1>
          <xm:sqref>C277:D277 C289:D289 C286:D286 C283:D283 C280:D280 C183:D183 C195:D195 C192:D192 C189:D189 C186:D186</xm:sqref>
        </x14:dataValidation>
        <x14:dataValidation type="list" allowBlank="1" showInputMessage="1" showErrorMessage="1" xr:uid="{4A7D5959-DE87-4B74-B01E-4B88F40201A1}">
          <x14:formula1>
            <xm:f>Pudotusvalikot!$F$3:$F$7</xm:f>
          </x14:formula1>
          <xm:sqref>D67 D397 D387 D47 F83:F89 D407 D392 D57 D62 D52 D402 D83:D89</xm:sqref>
        </x14:dataValidation>
        <x14:dataValidation type="list" allowBlank="1" showInputMessage="1" showErrorMessage="1" xr:uid="{9478993F-A47D-4C60-892E-2A70701B8E69}">
          <x14:formula1>
            <xm:f>Pudotusvalikot!$V$3:$V$9</xm:f>
          </x14:formula1>
          <xm:sqref>C12 C17 C22 C31 C33 C35 C41 C49 C54 C59 C64 C69 C77 C96 C101 C106 C111 C116 C125 C132 C141 C139 C150 C156 C162 C258 C263 C268 C342 C347 C352 C373 C377 C381 C389 C394 C399 C404 C409 C440 C419 C301 C309 C317 C325 C333 C207 C215 C223 C231 C239</xm:sqref>
        </x14:dataValidation>
        <x14:dataValidation type="list" allowBlank="1" showInputMessage="1" showErrorMessage="1" xr:uid="{3920E9E0-CE98-4314-B222-E76EE9836083}">
          <x14:formula1>
            <xm:f>Pudotusvalikot!$X$3:$X$7</xm:f>
          </x14:formula1>
          <xm:sqref>D172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1050C-B07D-4E8A-AA35-ADF62BB5201C}">
  <sheetPr codeName="Sheet4">
    <tabColor theme="5" tint="0.79998168889431442"/>
  </sheetPr>
  <dimension ref="B1:BG483"/>
  <sheetViews>
    <sheetView zoomScaleNormal="100" zoomScaleSheetLayoutView="100" workbookViewId="0">
      <pane xSplit="2" ySplit="2" topLeftCell="C3" activePane="bottomRight" state="frozen"/>
      <selection pane="topRight" activeCell="C1" sqref="C1"/>
      <selection pane="bottomLeft" activeCell="A3" sqref="A3"/>
      <selection pane="bottomRight" activeCell="C4" sqref="C4"/>
    </sheetView>
  </sheetViews>
  <sheetFormatPr defaultColWidth="9" defaultRowHeight="13.9" customHeight="1" x14ac:dyDescent="0.3"/>
  <cols>
    <col min="1" max="1" width="2.75" style="5" customWidth="1"/>
    <col min="2" max="2" width="85.58203125" style="5" customWidth="1"/>
    <col min="3" max="3" width="19.08203125" style="13" customWidth="1"/>
    <col min="4" max="4" width="12.75" style="87" bestFit="1" customWidth="1"/>
    <col min="5" max="5" width="2.25" style="5" customWidth="1"/>
    <col min="6" max="6" width="3.75" style="5" customWidth="1"/>
    <col min="7" max="7" width="20.75" style="13" customWidth="1"/>
    <col min="8" max="8" width="7.75" style="87" customWidth="1"/>
    <col min="9" max="9" width="15.25" style="5" customWidth="1"/>
    <col min="10" max="10" width="60.75" style="15" customWidth="1"/>
    <col min="11" max="12" width="15.75" style="13" customWidth="1"/>
    <col min="13" max="13" width="11" style="87" bestFit="1" customWidth="1"/>
    <col min="14" max="14" width="2.58203125" style="87" customWidth="1"/>
    <col min="15" max="15" width="80.58203125" style="87" customWidth="1"/>
    <col min="16" max="16" width="2.75" style="5" customWidth="1"/>
    <col min="17" max="17" width="2.75" style="24" customWidth="1"/>
    <col min="18" max="18" width="15.75" style="244" customWidth="1"/>
    <col min="19" max="19" width="15.75" style="22" customWidth="1"/>
    <col min="20" max="20" width="26.83203125" style="234" bestFit="1" customWidth="1"/>
    <col min="21" max="30" width="25.75" style="234" customWidth="1"/>
    <col min="31" max="37" width="25.75" style="22" customWidth="1"/>
    <col min="38" max="39" width="15.75" style="22" customWidth="1"/>
    <col min="40" max="57" width="9" style="23"/>
    <col min="58" max="16384" width="9" style="5"/>
  </cols>
  <sheetData>
    <row r="1" spans="2:59" s="31" customFormat="1" ht="15.5" x14ac:dyDescent="0.3">
      <c r="C1" s="34"/>
      <c r="D1" s="84"/>
      <c r="G1" s="34"/>
      <c r="H1" s="84"/>
      <c r="J1" s="33"/>
      <c r="K1" s="34"/>
      <c r="L1" s="34"/>
      <c r="M1" s="84"/>
      <c r="N1" s="84"/>
      <c r="O1" s="84"/>
      <c r="Q1" s="35"/>
      <c r="R1" s="106"/>
      <c r="S1" s="36"/>
      <c r="T1" s="44"/>
      <c r="U1" s="44"/>
      <c r="V1" s="44"/>
      <c r="W1" s="44"/>
      <c r="X1" s="44"/>
      <c r="Y1" s="44"/>
      <c r="Z1" s="44"/>
      <c r="AA1" s="44"/>
      <c r="AB1" s="44"/>
      <c r="AC1" s="44"/>
      <c r="AD1" s="44"/>
      <c r="AE1" s="36"/>
      <c r="AF1" s="36"/>
      <c r="AG1" s="36"/>
      <c r="AH1" s="36"/>
      <c r="AI1" s="36"/>
      <c r="AJ1" s="36"/>
      <c r="AK1" s="36"/>
      <c r="AL1" s="36"/>
      <c r="AM1" s="36"/>
      <c r="AN1" s="37"/>
      <c r="AO1" s="37"/>
      <c r="AP1" s="37"/>
      <c r="AQ1" s="37"/>
      <c r="AR1" s="37"/>
      <c r="AS1" s="37"/>
      <c r="AT1" s="37"/>
      <c r="AU1" s="37"/>
      <c r="AV1" s="37"/>
      <c r="AW1" s="37"/>
      <c r="AX1" s="37"/>
      <c r="AY1" s="37"/>
      <c r="AZ1" s="37"/>
      <c r="BA1" s="37"/>
      <c r="BB1" s="37"/>
      <c r="BC1" s="37"/>
      <c r="BD1" s="37"/>
      <c r="BE1" s="37"/>
    </row>
    <row r="2" spans="2:59" s="25" customFormat="1" ht="30" x14ac:dyDescent="0.3">
      <c r="B2" s="8" t="s">
        <v>646</v>
      </c>
      <c r="C2" s="375"/>
      <c r="D2" s="376"/>
      <c r="E2" s="377"/>
      <c r="F2" s="378" t="s">
        <v>643</v>
      </c>
      <c r="G2" s="379" t="str">
        <f>IF(ISNUMBER(C4),U471,"")</f>
        <v/>
      </c>
      <c r="H2" s="380" t="s">
        <v>172</v>
      </c>
      <c r="I2" s="381"/>
      <c r="J2" s="26"/>
      <c r="K2" s="27"/>
      <c r="L2" s="27"/>
      <c r="M2" s="85"/>
      <c r="N2" s="85"/>
      <c r="O2" s="85"/>
      <c r="Q2" s="28"/>
      <c r="R2" s="236"/>
      <c r="S2" s="29"/>
      <c r="T2" s="213"/>
      <c r="U2" s="213"/>
      <c r="V2" s="213"/>
      <c r="W2" s="213"/>
      <c r="X2" s="213"/>
      <c r="Y2" s="213"/>
      <c r="Z2" s="213"/>
      <c r="AA2" s="213"/>
      <c r="AB2" s="213"/>
      <c r="AC2" s="213"/>
      <c r="AD2" s="213"/>
      <c r="AE2" s="29"/>
      <c r="AF2" s="29"/>
      <c r="AG2" s="29"/>
      <c r="AH2" s="29"/>
      <c r="AI2" s="29"/>
      <c r="AJ2" s="29"/>
      <c r="AK2" s="29"/>
      <c r="AL2" s="29"/>
      <c r="AM2" s="29"/>
      <c r="AN2" s="30"/>
      <c r="AO2" s="30"/>
      <c r="AP2" s="30"/>
      <c r="AQ2" s="30"/>
      <c r="AR2" s="30"/>
      <c r="AS2" s="30"/>
      <c r="AT2" s="30"/>
      <c r="AU2" s="30"/>
      <c r="AV2" s="30"/>
      <c r="AW2" s="30"/>
      <c r="AX2" s="30"/>
      <c r="AY2" s="30"/>
      <c r="AZ2" s="30"/>
      <c r="BA2" s="30"/>
      <c r="BB2" s="30"/>
      <c r="BC2" s="30"/>
      <c r="BD2" s="30"/>
      <c r="BE2" s="30"/>
    </row>
    <row r="3" spans="2:59" s="31" customFormat="1" ht="15.5" x14ac:dyDescent="0.3">
      <c r="C3" s="34"/>
      <c r="D3" s="84"/>
      <c r="G3" s="34"/>
      <c r="H3" s="84"/>
      <c r="J3" s="33"/>
      <c r="K3" s="34"/>
      <c r="L3" s="34"/>
      <c r="M3" s="84"/>
      <c r="N3" s="84"/>
      <c r="O3" s="84"/>
      <c r="Q3" s="35"/>
      <c r="R3" s="106"/>
      <c r="S3" s="36"/>
      <c r="T3" s="44"/>
      <c r="U3" s="44"/>
      <c r="V3" s="44"/>
      <c r="W3" s="44"/>
      <c r="X3" s="44"/>
      <c r="Y3" s="44"/>
      <c r="Z3" s="44"/>
      <c r="AA3" s="44"/>
      <c r="AB3" s="44"/>
      <c r="AC3" s="44"/>
      <c r="AD3" s="44"/>
      <c r="AE3" s="36"/>
      <c r="AF3" s="36"/>
      <c r="AG3" s="36"/>
      <c r="AH3" s="36"/>
      <c r="AI3" s="36"/>
      <c r="AJ3" s="36"/>
      <c r="AK3" s="36"/>
      <c r="AL3" s="36"/>
      <c r="AM3" s="36"/>
      <c r="AN3" s="37"/>
      <c r="AO3" s="37"/>
      <c r="AP3" s="37"/>
      <c r="AQ3" s="37"/>
      <c r="AR3" s="37"/>
      <c r="AS3" s="37"/>
      <c r="AT3" s="37"/>
      <c r="AU3" s="37"/>
      <c r="AV3" s="37"/>
      <c r="AW3" s="37"/>
      <c r="AX3" s="37"/>
      <c r="AY3" s="37"/>
      <c r="AZ3" s="37"/>
      <c r="BA3" s="37"/>
      <c r="BB3" s="37"/>
      <c r="BC3" s="37"/>
      <c r="BD3" s="37"/>
      <c r="BE3" s="37"/>
    </row>
    <row r="4" spans="2:59" s="31" customFormat="1" ht="25" customHeight="1" x14ac:dyDescent="0.3">
      <c r="B4" s="81" t="s">
        <v>719</v>
      </c>
      <c r="C4" s="154"/>
      <c r="D4" s="84" t="str">
        <f>IF(ISBLANK(C4),"%","")</f>
        <v>%</v>
      </c>
      <c r="G4" s="175" t="str">
        <f>IF(ISNUMBER(C4),C4*'Kohdetiedot ja yhteenveto'!D12,"")</f>
        <v/>
      </c>
      <c r="H4" s="84" t="s">
        <v>175</v>
      </c>
      <c r="J4" s="33"/>
      <c r="K4" s="34"/>
      <c r="L4" s="34"/>
      <c r="M4" s="84"/>
      <c r="N4" s="84"/>
      <c r="O4" s="84"/>
      <c r="Q4" s="35"/>
      <c r="R4" s="106"/>
      <c r="S4" s="36"/>
      <c r="T4" s="44"/>
      <c r="U4" s="44"/>
      <c r="V4" s="44"/>
      <c r="W4" s="44"/>
      <c r="X4" s="44"/>
      <c r="Y4" s="44"/>
      <c r="Z4" s="44"/>
      <c r="AA4" s="44"/>
      <c r="AB4" s="44"/>
      <c r="AC4" s="44"/>
      <c r="AD4" s="44"/>
      <c r="AE4" s="36"/>
      <c r="AF4" s="36"/>
      <c r="AG4" s="36"/>
      <c r="AH4" s="36"/>
      <c r="AI4" s="36"/>
      <c r="AJ4" s="36"/>
      <c r="AK4" s="36"/>
      <c r="AL4" s="36"/>
      <c r="AM4" s="36"/>
      <c r="AN4" s="37"/>
      <c r="AO4" s="37"/>
      <c r="AP4" s="37"/>
      <c r="AQ4" s="37"/>
      <c r="AR4" s="37"/>
      <c r="AS4" s="37"/>
      <c r="AT4" s="37"/>
      <c r="AU4" s="37"/>
      <c r="AV4" s="37"/>
      <c r="AW4" s="37"/>
      <c r="AX4" s="37"/>
      <c r="AY4" s="37"/>
      <c r="AZ4" s="37"/>
      <c r="BA4" s="37"/>
      <c r="BB4" s="37"/>
      <c r="BC4" s="37"/>
      <c r="BD4" s="37"/>
      <c r="BE4" s="37"/>
    </row>
    <row r="5" spans="2:59" s="31" customFormat="1" ht="15.5" x14ac:dyDescent="0.3">
      <c r="C5" s="34"/>
      <c r="D5" s="84"/>
      <c r="G5" s="34"/>
      <c r="H5" s="84"/>
      <c r="J5" s="33"/>
      <c r="K5" s="34"/>
      <c r="L5" s="34"/>
      <c r="M5" s="84"/>
      <c r="N5" s="84"/>
      <c r="O5" s="84"/>
      <c r="Q5" s="35"/>
      <c r="R5" s="106"/>
      <c r="S5" s="36"/>
      <c r="T5" s="44"/>
      <c r="U5" s="44"/>
      <c r="V5" s="44"/>
      <c r="W5" s="44"/>
      <c r="X5" s="44"/>
      <c r="Y5" s="44"/>
      <c r="Z5" s="44"/>
      <c r="AA5" s="44"/>
      <c r="AB5" s="44"/>
      <c r="AC5" s="44"/>
      <c r="AD5" s="44"/>
      <c r="AE5" s="36"/>
      <c r="AF5" s="36"/>
      <c r="AG5" s="36"/>
      <c r="AH5" s="36"/>
      <c r="AI5" s="36"/>
      <c r="AJ5" s="36"/>
      <c r="AK5" s="36"/>
      <c r="AL5" s="36"/>
      <c r="AM5" s="36"/>
      <c r="AN5" s="37"/>
      <c r="AO5" s="37"/>
      <c r="AP5" s="37"/>
      <c r="AQ5" s="37"/>
      <c r="AR5" s="37"/>
      <c r="AS5" s="37"/>
      <c r="AT5" s="37"/>
      <c r="AU5" s="37"/>
      <c r="AV5" s="37"/>
      <c r="AW5" s="37"/>
      <c r="AX5" s="37"/>
      <c r="AY5" s="37"/>
      <c r="AZ5" s="37"/>
      <c r="BA5" s="37"/>
      <c r="BB5" s="37"/>
      <c r="BC5" s="37"/>
      <c r="BD5" s="37"/>
      <c r="BE5" s="37"/>
    </row>
    <row r="6" spans="2:59" s="196" customFormat="1" ht="23" x14ac:dyDescent="0.3">
      <c r="B6" s="197" t="s">
        <v>647</v>
      </c>
      <c r="C6" s="198"/>
      <c r="D6" s="199"/>
      <c r="G6" s="198"/>
      <c r="H6" s="199"/>
      <c r="J6" s="200"/>
      <c r="P6" s="201"/>
      <c r="Q6" s="202"/>
      <c r="R6" s="237"/>
      <c r="S6" s="202"/>
      <c r="T6" s="214"/>
      <c r="U6" s="215"/>
      <c r="V6" s="215"/>
      <c r="W6" s="215"/>
      <c r="X6" s="215"/>
      <c r="Y6" s="215"/>
      <c r="Z6" s="215"/>
      <c r="AA6" s="215"/>
      <c r="AB6" s="215"/>
      <c r="AC6" s="215"/>
      <c r="AD6" s="215"/>
      <c r="AE6" s="205"/>
      <c r="AF6" s="205"/>
      <c r="AG6" s="205"/>
      <c r="AH6" s="205"/>
      <c r="AI6" s="205"/>
      <c r="AJ6" s="20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5" x14ac:dyDescent="0.3">
      <c r="C7" s="34"/>
      <c r="D7" s="84"/>
      <c r="G7" s="34"/>
      <c r="H7" s="84"/>
      <c r="J7" s="33"/>
      <c r="K7" s="34"/>
      <c r="L7" s="34"/>
      <c r="M7" s="84"/>
      <c r="N7" s="84"/>
      <c r="O7" s="84"/>
      <c r="Q7" s="35"/>
      <c r="R7" s="106"/>
      <c r="S7" s="36"/>
      <c r="T7" s="44"/>
      <c r="U7" s="44"/>
      <c r="V7" s="44"/>
      <c r="W7" s="44"/>
      <c r="X7" s="44"/>
      <c r="Y7" s="44"/>
      <c r="Z7" s="44"/>
      <c r="AA7" s="44"/>
      <c r="AB7" s="44"/>
      <c r="AC7" s="44"/>
      <c r="AD7" s="44"/>
      <c r="AE7" s="36"/>
      <c r="AF7" s="36"/>
      <c r="AG7" s="36"/>
      <c r="AH7" s="36"/>
      <c r="AI7" s="36"/>
      <c r="AJ7" s="36"/>
      <c r="AK7" s="36"/>
      <c r="AL7" s="36"/>
      <c r="AM7" s="36"/>
      <c r="AN7" s="37"/>
      <c r="AO7" s="37"/>
      <c r="AP7" s="37"/>
      <c r="AQ7" s="37"/>
      <c r="AR7" s="37"/>
      <c r="AS7" s="37"/>
      <c r="AT7" s="37"/>
      <c r="AU7" s="37"/>
      <c r="AV7" s="37"/>
      <c r="AW7" s="37"/>
      <c r="AX7" s="37"/>
      <c r="AY7" s="37"/>
      <c r="AZ7" s="37"/>
      <c r="BA7" s="37"/>
      <c r="BB7" s="37"/>
      <c r="BC7" s="37"/>
      <c r="BD7" s="37"/>
      <c r="BE7" s="37"/>
    </row>
    <row r="8" spans="2:59" s="298" customFormat="1" ht="18" x14ac:dyDescent="0.3">
      <c r="B8" s="295" t="s">
        <v>483</v>
      </c>
      <c r="C8" s="296"/>
      <c r="D8" s="297"/>
      <c r="G8" s="296"/>
      <c r="H8" s="297"/>
      <c r="K8" s="296"/>
      <c r="L8" s="296"/>
      <c r="M8" s="297"/>
      <c r="N8" s="297"/>
      <c r="O8" s="300"/>
      <c r="P8" s="320"/>
      <c r="Q8" s="304"/>
      <c r="S8" s="303"/>
      <c r="T8" s="303"/>
      <c r="U8" s="303"/>
      <c r="V8" s="303"/>
      <c r="W8" s="303"/>
      <c r="X8" s="303"/>
      <c r="Y8" s="303"/>
      <c r="Z8" s="303"/>
      <c r="AA8" s="303"/>
      <c r="AB8" s="303"/>
      <c r="AC8" s="303"/>
      <c r="AD8" s="303"/>
      <c r="AE8" s="303"/>
      <c r="AF8" s="303"/>
      <c r="AG8" s="303"/>
      <c r="AH8" s="303"/>
      <c r="AI8" s="303"/>
      <c r="AJ8" s="303"/>
      <c r="AK8" s="303"/>
      <c r="AL8" s="303"/>
      <c r="AM8" s="303"/>
      <c r="AN8" s="304"/>
      <c r="AO8" s="304"/>
      <c r="AP8" s="304"/>
      <c r="AQ8" s="304"/>
      <c r="AR8" s="304"/>
      <c r="AS8" s="304"/>
      <c r="AT8" s="304"/>
      <c r="AU8" s="304"/>
      <c r="AV8" s="304"/>
      <c r="AW8" s="304"/>
      <c r="AX8" s="304"/>
      <c r="AY8" s="304"/>
      <c r="AZ8" s="304"/>
      <c r="BA8" s="304"/>
      <c r="BB8" s="304"/>
      <c r="BC8" s="304"/>
      <c r="BD8" s="304"/>
      <c r="BE8" s="304"/>
    </row>
    <row r="9" spans="2:59" s="31" customFormat="1" ht="15.5" x14ac:dyDescent="0.3">
      <c r="B9" s="9"/>
      <c r="C9" s="34"/>
      <c r="D9" s="84"/>
      <c r="G9" s="34"/>
      <c r="H9" s="84"/>
      <c r="K9" s="38"/>
      <c r="L9" s="38"/>
      <c r="M9" s="84"/>
      <c r="N9" s="84"/>
      <c r="O9" s="255" t="s">
        <v>644</v>
      </c>
      <c r="Q9" s="35"/>
      <c r="R9" s="44" t="s">
        <v>350</v>
      </c>
      <c r="S9" s="36"/>
      <c r="T9" s="44"/>
      <c r="U9" s="44"/>
      <c r="V9" s="44"/>
      <c r="W9" s="44"/>
      <c r="X9" s="44"/>
      <c r="Y9" s="44"/>
      <c r="Z9" s="44"/>
      <c r="AA9" s="44"/>
      <c r="AB9" s="44"/>
      <c r="AC9" s="44"/>
      <c r="AD9" s="44"/>
      <c r="AE9" s="44"/>
      <c r="AF9" s="44"/>
      <c r="AG9" s="44"/>
      <c r="AH9" s="44"/>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5" x14ac:dyDescent="0.3">
      <c r="B10" s="172" t="s">
        <v>438</v>
      </c>
      <c r="C10" s="34"/>
      <c r="D10" s="84"/>
      <c r="G10" s="34"/>
      <c r="H10" s="84"/>
      <c r="K10" s="38" t="s">
        <v>329</v>
      </c>
      <c r="L10" s="38" t="s">
        <v>201</v>
      </c>
      <c r="M10" s="84"/>
      <c r="N10" s="84"/>
      <c r="O10" s="256"/>
      <c r="Q10" s="35"/>
      <c r="R10" s="44" t="s">
        <v>172</v>
      </c>
      <c r="S10" s="36"/>
      <c r="T10" s="44" t="s">
        <v>446</v>
      </c>
      <c r="U10" s="44" t="s">
        <v>445</v>
      </c>
      <c r="V10" s="44" t="s">
        <v>443</v>
      </c>
      <c r="W10" s="44" t="s">
        <v>444</v>
      </c>
      <c r="X10" s="44" t="s">
        <v>447</v>
      </c>
      <c r="Y10" s="44" t="s">
        <v>449</v>
      </c>
      <c r="Z10" s="44" t="s">
        <v>448</v>
      </c>
      <c r="AA10" s="44" t="s">
        <v>202</v>
      </c>
      <c r="AB10" s="44" t="s">
        <v>380</v>
      </c>
      <c r="AC10" s="44" t="s">
        <v>450</v>
      </c>
      <c r="AD10" s="44" t="s">
        <v>381</v>
      </c>
      <c r="AE10" s="44" t="s">
        <v>451</v>
      </c>
      <c r="AF10" s="44" t="s">
        <v>452</v>
      </c>
      <c r="AG10" s="44" t="s">
        <v>638</v>
      </c>
      <c r="AH10" s="36" t="s">
        <v>206</v>
      </c>
      <c r="AI10" s="36" t="s">
        <v>278</v>
      </c>
      <c r="AJ10" s="36" t="s">
        <v>207</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46.5" x14ac:dyDescent="0.3">
      <c r="B11" s="170" t="s">
        <v>504</v>
      </c>
      <c r="C11" s="392" t="s">
        <v>93</v>
      </c>
      <c r="D11" s="393"/>
      <c r="E11" s="393"/>
      <c r="F11" s="393"/>
      <c r="G11" s="394"/>
      <c r="H11" s="169"/>
      <c r="J11" s="173" t="s">
        <v>441</v>
      </c>
      <c r="K11" s="96">
        <f>IF(ISNUMBER(L11),L11,IF(OR(C11=Pudotusvalikot!$D$14,C11=Pudotusvalikot!$D$15),Kalusto!$G$96,VLOOKUP(C11,Kalusto!$C$44:$G$83,5,FALSE))*IF(OR(C12=Pudotusvalikot!$V$3,C12=Pudotusvalikot!$V$4),Muut!$E$38,IF(C12=Pudotusvalikot!$V$5,Muut!$E$39,IF(C12=Pudotusvalikot!$V$6,Muut!$E$40,Muut!$E$41))))</f>
        <v>5.7709999999999997E-2</v>
      </c>
      <c r="L11" s="40"/>
      <c r="M11" s="41" t="s">
        <v>200</v>
      </c>
      <c r="N11" s="41"/>
      <c r="O11" s="265"/>
      <c r="Q11" s="47"/>
      <c r="R11" s="218" t="str">
        <f ca="1">IF(AND(NOT(ISNUMBER(AB11)),NOT(ISNUMBER(AG11))),"",IF(ISNUMBER(AB11),AB11,0)+IF(ISNUMBER(AG11),AG11,0))</f>
        <v/>
      </c>
      <c r="S11" s="102" t="s">
        <v>484</v>
      </c>
      <c r="T11" s="216" t="str">
        <f>IF(ISNUMBER(L11),"Kohdetieto",IF(OR(C11=Pudotusvalikot!$D$14,C11=Pudotusvalikot!$D$15),Kalusto!$I$96,VLOOKUP(C11,Kalusto!$C$44:$L$83,7,FALSE)))</f>
        <v>Puoliperävaunu</v>
      </c>
      <c r="U11" s="216">
        <f>IF(ISNUMBER(L11),"Kohdetieto",IF(OR(C11=Pudotusvalikot!$D$14,C11=Pudotusvalikot!$D$15),Kalusto!$J$96,VLOOKUP(C11,Kalusto!$C$44:$L$83,8,FALSE)))</f>
        <v>40</v>
      </c>
      <c r="V11" s="217">
        <f>IF(ISNUMBER(L11),"Kohdetieto",IF(OR(C11=Pudotusvalikot!$D$14,C11=Pudotusvalikot!$D$15),Kalusto!$K$96,VLOOKUP(C11,Kalusto!$C$44:$L$83,9,FALSE)))</f>
        <v>0.8</v>
      </c>
      <c r="W11" s="217" t="str">
        <f>IF(ISNUMBER(L11),"Kohdetieto",IF(OR(C11=Pudotusvalikot!$D$14,C11=Pudotusvalikot!$D$15),Kalusto!$L$96,VLOOKUP(C11,Kalusto!$C$44:$L$83,10,FALSE)))</f>
        <v>maantieajo</v>
      </c>
      <c r="X11" s="218" t="str">
        <f>IF(ISBLANK(C13),"",C13)</f>
        <v/>
      </c>
      <c r="Y11" s="216" t="str">
        <f>IF(ISNUMBER(C14),C14,"")</f>
        <v/>
      </c>
      <c r="Z11" s="218" t="str">
        <f>IF(ISNUMBER(X11/(U11*V11)*Y11),X11/(U11*V11)*Y11,"")</f>
        <v/>
      </c>
      <c r="AA11" s="219">
        <f>IF(ISNUMBER(L11),L11,K11)</f>
        <v>5.7709999999999997E-2</v>
      </c>
      <c r="AB11" s="218" t="str">
        <f>IF(ISNUMBER(Y11*X11*K11),Y11*X11*K11,"")</f>
        <v/>
      </c>
      <c r="AC11" s="218" t="str">
        <f>IF(C26="Kyllä",Y11,"")</f>
        <v/>
      </c>
      <c r="AD11" s="218" t="str">
        <f>IF(C26="Kyllä",IF(ISNUMBER(X11/(U11*V11)),CEILING(X11/(U11*V11),1),""),"")</f>
        <v/>
      </c>
      <c r="AE11" s="50" t="str">
        <f>IF(ISNUMBER(AD11*AC11),AD11*AC11,"")</f>
        <v/>
      </c>
      <c r="AF11" s="51">
        <f ca="1">IF(ISNUMBER(L13),L13,K13)</f>
        <v>0.81247999999999998</v>
      </c>
      <c r="AG11" s="50" t="str">
        <f ca="1">IF(ISNUMBER(AC11*AD11*K13),AC11*AD11*K13,"")</f>
        <v/>
      </c>
      <c r="AH11" s="48">
        <f>IF(T11="Jakelukuorma-auto",0,IF(T11="Maansiirtoauto",4,IF(T11="Puoliperävaunu",6,8)))</f>
        <v>6</v>
      </c>
      <c r="AI11" s="48">
        <f>IF(AND(T11="Jakelukuorma-auto",U11=6),0,IF(AND(T11="Jakelukuorma-auto",U11=15),2,0))</f>
        <v>0</v>
      </c>
      <c r="AJ11" s="48">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5" x14ac:dyDescent="0.3">
      <c r="B12" s="186" t="s">
        <v>506</v>
      </c>
      <c r="C12" s="160" t="s">
        <v>242</v>
      </c>
      <c r="D12" s="34"/>
      <c r="E12" s="34"/>
      <c r="F12" s="34"/>
      <c r="G12" s="34"/>
      <c r="H12" s="59"/>
      <c r="J12" s="173"/>
      <c r="K12" s="173"/>
      <c r="L12" s="173"/>
      <c r="M12" s="41"/>
      <c r="N12" s="41"/>
      <c r="O12" s="265"/>
      <c r="Q12" s="47"/>
      <c r="R12" s="44"/>
      <c r="S12" s="36"/>
      <c r="T12" s="44"/>
      <c r="U12" s="44"/>
      <c r="V12" s="220"/>
      <c r="W12" s="220"/>
      <c r="X12" s="221"/>
      <c r="Y12" s="44"/>
      <c r="Z12" s="221"/>
      <c r="AA12" s="222"/>
      <c r="AB12" s="221"/>
      <c r="AC12" s="221"/>
      <c r="AD12" s="221"/>
      <c r="AE12" s="61"/>
      <c r="AF12" s="182"/>
      <c r="AG12" s="61"/>
      <c r="AH12" s="36"/>
      <c r="AI12" s="36"/>
      <c r="AJ12" s="36"/>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5" x14ac:dyDescent="0.3">
      <c r="B13" s="45" t="s">
        <v>573</v>
      </c>
      <c r="C13" s="156"/>
      <c r="D13" s="84" t="s">
        <v>52</v>
      </c>
      <c r="G13" s="34"/>
      <c r="H13" s="84"/>
      <c r="J13" s="33" t="s">
        <v>442</v>
      </c>
      <c r="K13" s="96">
        <f ca="1">IF(ISNUMBER(L13),L13,IF($C$133="Ei","",IF(AND($C$133="Kyllä",OR(C11=Pudotusvalikot!$D$14,C11=Pudotusvalikot!$D$15)),Kalusto!$G$97,OFFSET(Kalusto!$G$85,AH11+AJ11+AI11,0,1,1)))*IF(OR(C12=Pudotusvalikot!$V$3,C12=Pudotusvalikot!$V$4),Muut!$E$38,IF(C12=Pudotusvalikot!$V$5,Muut!$E$39,IF(C12=Pudotusvalikot!$V$6,Muut!$E$40,Muut!$E$41))))</f>
        <v>0.81247999999999998</v>
      </c>
      <c r="L13" s="40"/>
      <c r="M13" s="41" t="s">
        <v>204</v>
      </c>
      <c r="N13" s="41"/>
      <c r="O13" s="265"/>
      <c r="P13" s="34"/>
      <c r="Q13" s="52"/>
      <c r="R13" s="218" t="str">
        <f ca="1">IF(ISNUMBER(R11),R11,"")</f>
        <v/>
      </c>
      <c r="S13" s="102" t="s">
        <v>485</v>
      </c>
      <c r="T13" s="44"/>
      <c r="U13" s="44"/>
      <c r="V13" s="44"/>
      <c r="W13" s="44"/>
      <c r="X13" s="44"/>
      <c r="Y13" s="44"/>
      <c r="Z13" s="44"/>
      <c r="AA13" s="44"/>
      <c r="AB13" s="44"/>
      <c r="AC13" s="44"/>
      <c r="AD13" s="44"/>
      <c r="AE13" s="36"/>
      <c r="AF13" s="36"/>
      <c r="AG13" s="36"/>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5" x14ac:dyDescent="0.3">
      <c r="B14" s="45" t="s">
        <v>574</v>
      </c>
      <c r="C14" s="156"/>
      <c r="D14" s="84" t="s">
        <v>5</v>
      </c>
      <c r="G14" s="34"/>
      <c r="H14" s="84"/>
      <c r="I14" s="53"/>
      <c r="J14" s="53"/>
      <c r="K14" s="34"/>
      <c r="L14" s="34"/>
      <c r="M14" s="84"/>
      <c r="N14" s="84"/>
      <c r="O14" s="100"/>
      <c r="P14" s="53"/>
      <c r="Q14" s="52"/>
      <c r="R14" s="44" t="s">
        <v>350</v>
      </c>
      <c r="S14" s="37"/>
      <c r="T14" s="44"/>
      <c r="U14" s="44"/>
      <c r="V14" s="44"/>
      <c r="W14" s="44"/>
      <c r="X14" s="44"/>
      <c r="Y14" s="44"/>
      <c r="Z14" s="44"/>
      <c r="AA14" s="44"/>
      <c r="AB14" s="44"/>
      <c r="AC14" s="44"/>
      <c r="AD14" s="44"/>
      <c r="AE14" s="44"/>
      <c r="AF14" s="44"/>
      <c r="AG14" s="44"/>
      <c r="AH14" s="44"/>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5" x14ac:dyDescent="0.3">
      <c r="B15" s="172" t="s">
        <v>439</v>
      </c>
      <c r="C15" s="34"/>
      <c r="D15" s="84"/>
      <c r="G15" s="34"/>
      <c r="H15" s="84"/>
      <c r="J15" s="33"/>
      <c r="K15" s="38" t="s">
        <v>329</v>
      </c>
      <c r="L15" s="38" t="s">
        <v>201</v>
      </c>
      <c r="M15" s="84"/>
      <c r="N15" s="84"/>
      <c r="O15" s="100"/>
      <c r="P15" s="34"/>
      <c r="Q15" s="35"/>
      <c r="R15" s="44" t="s">
        <v>172</v>
      </c>
      <c r="S15" s="36"/>
      <c r="T15" s="44" t="s">
        <v>446</v>
      </c>
      <c r="U15" s="44" t="s">
        <v>445</v>
      </c>
      <c r="V15" s="44" t="s">
        <v>443</v>
      </c>
      <c r="W15" s="44" t="s">
        <v>444</v>
      </c>
      <c r="X15" s="44" t="s">
        <v>447</v>
      </c>
      <c r="Y15" s="44" t="s">
        <v>449</v>
      </c>
      <c r="Z15" s="44" t="s">
        <v>448</v>
      </c>
      <c r="AA15" s="44" t="s">
        <v>202</v>
      </c>
      <c r="AB15" s="44" t="s">
        <v>380</v>
      </c>
      <c r="AC15" s="44" t="s">
        <v>450</v>
      </c>
      <c r="AD15" s="44" t="s">
        <v>381</v>
      </c>
      <c r="AE15" s="44" t="s">
        <v>451</v>
      </c>
      <c r="AF15" s="44" t="s">
        <v>452</v>
      </c>
      <c r="AG15" s="44" t="s">
        <v>638</v>
      </c>
      <c r="AH15" s="36" t="s">
        <v>206</v>
      </c>
      <c r="AI15" s="36" t="s">
        <v>278</v>
      </c>
      <c r="AJ15" s="36" t="s">
        <v>207</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46.5" x14ac:dyDescent="0.3">
      <c r="B16" s="170" t="s">
        <v>504</v>
      </c>
      <c r="C16" s="392" t="s">
        <v>93</v>
      </c>
      <c r="D16" s="393"/>
      <c r="E16" s="393"/>
      <c r="F16" s="393"/>
      <c r="G16" s="394"/>
      <c r="H16" s="169"/>
      <c r="J16" s="173" t="s">
        <v>441</v>
      </c>
      <c r="K16" s="96">
        <f>IF(ISNUMBER(L16),L16,IF(OR(C16=Pudotusvalikot!$D$14,C16=Pudotusvalikot!$D$15),Kalusto!$G$96,VLOOKUP(C16,Kalusto!$C$44:$G$83,5,FALSE))*IF(OR(C17=Pudotusvalikot!$V$3,C17=Pudotusvalikot!$V$4),Muut!$E$38,IF(C17=Pudotusvalikot!$V$5,Muut!$E$39,IF(C17=Pudotusvalikot!$V$6,Muut!$E$40,Muut!$E$41))))</f>
        <v>5.7709999999999997E-2</v>
      </c>
      <c r="L16" s="40"/>
      <c r="M16" s="41" t="s">
        <v>200</v>
      </c>
      <c r="N16" s="41"/>
      <c r="O16" s="265"/>
      <c r="Q16" s="47"/>
      <c r="R16" s="218" t="str">
        <f ca="1">IF(AND(NOT(ISNUMBER(AB16)),NOT(ISNUMBER(AG16))),"",IF(ISNUMBER(AB16),AB16,0)+IF(ISNUMBER(AG16),AG16,0))</f>
        <v/>
      </c>
      <c r="S16" s="102" t="s">
        <v>484</v>
      </c>
      <c r="T16" s="216" t="str">
        <f>IF(ISNUMBER(L16),"Kohdetieto",IF(OR(C16=Pudotusvalikot!$D$14,C16=Pudotusvalikot!$D$15),Kalusto!$I$96,VLOOKUP(C16,Kalusto!$C$44:$L$83,7,FALSE)))</f>
        <v>Puoliperävaunu</v>
      </c>
      <c r="U16" s="216">
        <f>IF(ISNUMBER(L16),"Kohdetieto",IF(OR(C16=Pudotusvalikot!$D$14,C16=Pudotusvalikot!$D$15),Kalusto!$J$96,VLOOKUP(C16,Kalusto!$C$44:$L$83,8,FALSE)))</f>
        <v>40</v>
      </c>
      <c r="V16" s="217">
        <f>IF(ISNUMBER(L16),"Kohdetieto",IF(OR(C16=Pudotusvalikot!$D$14,C16=Pudotusvalikot!$D$15),Kalusto!$K$96,VLOOKUP(C16,Kalusto!$C$44:$L$83,9,FALSE)))</f>
        <v>0.8</v>
      </c>
      <c r="W16" s="217" t="str">
        <f>IF(ISNUMBER(L16),"Kohdetieto",IF(OR(C16=Pudotusvalikot!$D$14,C16=Pudotusvalikot!$D$15),Kalusto!$L$96,VLOOKUP(C16,Kalusto!$C$44:$L$83,10,FALSE)))</f>
        <v>maantieajo</v>
      </c>
      <c r="X16" s="218" t="str">
        <f>IF(ISBLANK(C18),"",C18)</f>
        <v/>
      </c>
      <c r="Y16" s="216" t="str">
        <f>IF(ISNUMBER(C19),C19,"")</f>
        <v/>
      </c>
      <c r="Z16" s="218" t="str">
        <f>IF(ISNUMBER(X16/(U16*V16)*Y16),X16/(U16*V16)*Y16,"")</f>
        <v/>
      </c>
      <c r="AA16" s="219">
        <f>IF(ISNUMBER(L16),L16,K16)</f>
        <v>5.7709999999999997E-2</v>
      </c>
      <c r="AB16" s="218" t="str">
        <f>IF(ISNUMBER(Y16*X16*K16),Y16*X16*K16,"")</f>
        <v/>
      </c>
      <c r="AC16" s="218" t="str">
        <f>IF(C31="Kyllä",Y16,"")</f>
        <v/>
      </c>
      <c r="AD16" s="218" t="str">
        <f>IF(C31="Kyllä",IF(ISNUMBER(X16/(U16*V16)),CEILING(X16/(U16*V16),1),""),"")</f>
        <v/>
      </c>
      <c r="AE16" s="50" t="str">
        <f>IF(ISNUMBER(AD16*AC16),AD16*AC16,"")</f>
        <v/>
      </c>
      <c r="AF16" s="51">
        <f ca="1">IF(ISNUMBER(L18),L18,K18)</f>
        <v>0.81247999999999998</v>
      </c>
      <c r="AG16" s="50" t="str">
        <f ca="1">IF(ISNUMBER(AC16*AD16*K18),AC16*AD16*K18,"")</f>
        <v/>
      </c>
      <c r="AH16" s="48">
        <f>IF(T16="Jakelukuorma-auto",0,IF(T16="Maansiirtoauto",4,IF(T16="Puoliperävaunu",6,8)))</f>
        <v>6</v>
      </c>
      <c r="AI16" s="48">
        <f>IF(AND(T16="Jakelukuorma-auto",U16=6),0,IF(AND(T16="Jakelukuorma-auto",U16=15),2,0))</f>
        <v>0</v>
      </c>
      <c r="AJ16" s="48">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5" x14ac:dyDescent="0.3">
      <c r="B17" s="186" t="s">
        <v>506</v>
      </c>
      <c r="C17" s="160" t="s">
        <v>242</v>
      </c>
      <c r="D17" s="34"/>
      <c r="E17" s="34"/>
      <c r="F17" s="34"/>
      <c r="G17" s="34"/>
      <c r="H17" s="59"/>
      <c r="J17" s="173"/>
      <c r="K17" s="173"/>
      <c r="L17" s="173"/>
      <c r="M17" s="41"/>
      <c r="N17" s="41"/>
      <c r="O17" s="265"/>
      <c r="Q17" s="47"/>
      <c r="R17" s="44"/>
      <c r="S17" s="36"/>
      <c r="T17" s="44"/>
      <c r="U17" s="44"/>
      <c r="V17" s="220"/>
      <c r="W17" s="220"/>
      <c r="X17" s="221"/>
      <c r="Y17" s="44"/>
      <c r="Z17" s="221"/>
      <c r="AA17" s="222"/>
      <c r="AB17" s="221"/>
      <c r="AC17" s="221"/>
      <c r="AD17" s="221"/>
      <c r="AE17" s="61"/>
      <c r="AF17" s="182"/>
      <c r="AG17" s="61"/>
      <c r="AH17" s="36"/>
      <c r="AI17" s="36"/>
      <c r="AJ17" s="36"/>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5" x14ac:dyDescent="0.3">
      <c r="B18" s="45" t="s">
        <v>573</v>
      </c>
      <c r="C18" s="157"/>
      <c r="D18" s="84" t="s">
        <v>52</v>
      </c>
      <c r="G18" s="34"/>
      <c r="H18" s="84"/>
      <c r="J18" s="33" t="s">
        <v>442</v>
      </c>
      <c r="K18" s="96">
        <f ca="1">IF(ISNUMBER(L18),L18,IF($C$133="Ei","",IF(AND($C$133="Kyllä",OR(C16=Pudotusvalikot!$D$14,C16=Pudotusvalikot!$D$15)),Kalusto!$G$97,OFFSET(Kalusto!$G$85,AH16+AJ16+AI16,0,1,1)))*IF(OR(C17=Pudotusvalikot!$V$3,C17=Pudotusvalikot!$V$4),Muut!$E$38,IF(C17=Pudotusvalikot!$V$5,Muut!$E$39,IF(C17=Pudotusvalikot!$V$6,Muut!$E$40,Muut!$E$41))))</f>
        <v>0.81247999999999998</v>
      </c>
      <c r="L18" s="40"/>
      <c r="M18" s="41" t="s">
        <v>204</v>
      </c>
      <c r="N18" s="41"/>
      <c r="O18" s="265"/>
      <c r="P18" s="34"/>
      <c r="Q18" s="52"/>
      <c r="R18" s="218" t="str">
        <f ca="1">IF(ISNUMBER(R16),R16,"")</f>
        <v/>
      </c>
      <c r="S18" s="102" t="s">
        <v>485</v>
      </c>
      <c r="T18" s="44"/>
      <c r="U18" s="44"/>
      <c r="V18" s="44"/>
      <c r="W18" s="44"/>
      <c r="X18" s="44"/>
      <c r="Y18" s="44"/>
      <c r="Z18" s="44"/>
      <c r="AA18" s="44"/>
      <c r="AB18" s="44"/>
      <c r="AC18" s="44"/>
      <c r="AD18" s="44"/>
      <c r="AE18" s="36"/>
      <c r="AF18" s="36"/>
      <c r="AG18" s="36"/>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5" x14ac:dyDescent="0.3">
      <c r="B19" s="45" t="s">
        <v>574</v>
      </c>
      <c r="C19" s="158"/>
      <c r="D19" s="84" t="s">
        <v>5</v>
      </c>
      <c r="G19" s="34"/>
      <c r="H19" s="84"/>
      <c r="I19" s="53"/>
      <c r="J19" s="53"/>
      <c r="K19" s="34"/>
      <c r="L19" s="34"/>
      <c r="M19" s="84"/>
      <c r="N19" s="84"/>
      <c r="O19" s="100"/>
      <c r="P19" s="53"/>
      <c r="Q19" s="52"/>
      <c r="R19" s="44" t="s">
        <v>350</v>
      </c>
      <c r="S19" s="36"/>
      <c r="T19" s="44"/>
      <c r="U19" s="44"/>
      <c r="V19" s="44"/>
      <c r="W19" s="44"/>
      <c r="X19" s="44"/>
      <c r="Y19" s="44"/>
      <c r="Z19" s="44"/>
      <c r="AA19" s="44"/>
      <c r="AB19" s="44"/>
      <c r="AC19" s="44"/>
      <c r="AD19" s="44"/>
      <c r="AE19" s="44"/>
      <c r="AF19" s="44"/>
      <c r="AG19" s="44"/>
      <c r="AH19" s="44"/>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5" x14ac:dyDescent="0.3">
      <c r="B20" s="172" t="s">
        <v>440</v>
      </c>
      <c r="C20" s="34"/>
      <c r="D20" s="84"/>
      <c r="G20" s="34"/>
      <c r="H20" s="84"/>
      <c r="J20" s="33"/>
      <c r="K20" s="38" t="s">
        <v>329</v>
      </c>
      <c r="L20" s="38" t="s">
        <v>201</v>
      </c>
      <c r="M20" s="84"/>
      <c r="N20" s="84"/>
      <c r="O20" s="100"/>
      <c r="P20" s="34"/>
      <c r="Q20" s="35"/>
      <c r="R20" s="44" t="s">
        <v>172</v>
      </c>
      <c r="S20" s="36"/>
      <c r="T20" s="44" t="s">
        <v>446</v>
      </c>
      <c r="U20" s="44" t="s">
        <v>445</v>
      </c>
      <c r="V20" s="44" t="s">
        <v>443</v>
      </c>
      <c r="W20" s="44" t="s">
        <v>444</v>
      </c>
      <c r="X20" s="44" t="s">
        <v>447</v>
      </c>
      <c r="Y20" s="44" t="s">
        <v>449</v>
      </c>
      <c r="Z20" s="44" t="s">
        <v>448</v>
      </c>
      <c r="AA20" s="44" t="s">
        <v>202</v>
      </c>
      <c r="AB20" s="44" t="s">
        <v>380</v>
      </c>
      <c r="AC20" s="44" t="s">
        <v>450</v>
      </c>
      <c r="AD20" s="44" t="s">
        <v>381</v>
      </c>
      <c r="AE20" s="44" t="s">
        <v>451</v>
      </c>
      <c r="AF20" s="44" t="s">
        <v>452</v>
      </c>
      <c r="AG20" s="44" t="s">
        <v>638</v>
      </c>
      <c r="AH20" s="36" t="s">
        <v>206</v>
      </c>
      <c r="AI20" s="36" t="s">
        <v>278</v>
      </c>
      <c r="AJ20" s="36" t="s">
        <v>207</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46.5" x14ac:dyDescent="0.3">
      <c r="B21" s="170" t="s">
        <v>504</v>
      </c>
      <c r="C21" s="392" t="s">
        <v>93</v>
      </c>
      <c r="D21" s="393"/>
      <c r="E21" s="393"/>
      <c r="F21" s="393"/>
      <c r="G21" s="394"/>
      <c r="H21" s="169"/>
      <c r="J21" s="173" t="s">
        <v>441</v>
      </c>
      <c r="K21" s="96">
        <f>IF(ISNUMBER(L21),L21,IF(OR(C21=Pudotusvalikot!$D$14,C21=Pudotusvalikot!$D$15),Kalusto!$G$96,VLOOKUP(C21,Kalusto!$C$44:$G$83,5,FALSE))*IF(OR(C22=Pudotusvalikot!$V$3,C22=Pudotusvalikot!$V$4),Muut!$E$38,IF(C22=Pudotusvalikot!$V$5,Muut!$E$39,IF(C22=Pudotusvalikot!$V$6,Muut!$E$40,Muut!$E$41))))</f>
        <v>5.7709999999999997E-2</v>
      </c>
      <c r="L21" s="40"/>
      <c r="M21" s="41" t="s">
        <v>200</v>
      </c>
      <c r="N21" s="41"/>
      <c r="O21" s="265"/>
      <c r="Q21" s="47"/>
      <c r="R21" s="218" t="str">
        <f ca="1">IF(AND(NOT(ISNUMBER(AB21)),NOT(ISNUMBER(AG21))),"",IF(ISNUMBER(AB21),AB21,0)+IF(ISNUMBER(AG21),AG21,0))</f>
        <v/>
      </c>
      <c r="S21" s="102" t="s">
        <v>484</v>
      </c>
      <c r="T21" s="216" t="str">
        <f>IF(ISNUMBER(L21),"Kohdetieto",IF(OR(C21=Pudotusvalikot!$D$14,C21=Pudotusvalikot!$D$15),Kalusto!$I$96,VLOOKUP(C21,Kalusto!$C$44:$L$83,7,FALSE)))</f>
        <v>Puoliperävaunu</v>
      </c>
      <c r="U21" s="216">
        <f>IF(ISNUMBER(L21),"Kohdetieto",IF(OR(C21=Pudotusvalikot!$D$14,C21=Pudotusvalikot!$D$15),Kalusto!$J$96,VLOOKUP(C21,Kalusto!$C$44:$L$83,8,FALSE)))</f>
        <v>40</v>
      </c>
      <c r="V21" s="217">
        <f>IF(ISNUMBER(L21),"Kohdetieto",IF(OR(C21=Pudotusvalikot!$D$14,C21=Pudotusvalikot!$D$15),Kalusto!$K$96,VLOOKUP(C21,Kalusto!$C$44:$L$83,9,FALSE)))</f>
        <v>0.8</v>
      </c>
      <c r="W21" s="217" t="str">
        <f>IF(ISNUMBER(L21),"Kohdetieto",IF(OR(C21=Pudotusvalikot!$D$14,C21=Pudotusvalikot!$D$15),Kalusto!$L$96,VLOOKUP(C21,Kalusto!$C$44:$L$83,10,FALSE)))</f>
        <v>maantieajo</v>
      </c>
      <c r="X21" s="218" t="str">
        <f>IF(ISBLANK(C23),"",C23)</f>
        <v/>
      </c>
      <c r="Y21" s="216" t="str">
        <f>IF(ISNUMBER(C24),C24,"")</f>
        <v/>
      </c>
      <c r="Z21" s="218" t="str">
        <f>IF(ISNUMBER(X21/(U21*V21)*Y21),X21/(U21*V21)*Y21,"")</f>
        <v/>
      </c>
      <c r="AA21" s="219">
        <f>IF(ISNUMBER(L21),L21,K21)</f>
        <v>5.7709999999999997E-2</v>
      </c>
      <c r="AB21" s="218" t="str">
        <f>IF(ISNUMBER(Y21*X21*K21),Y21*X21*K21,"")</f>
        <v/>
      </c>
      <c r="AC21" s="218" t="str">
        <f>IF(C38="Kyllä",Y21,"")</f>
        <v/>
      </c>
      <c r="AD21" s="218" t="str">
        <f>IF(C38="Kyllä",IF(ISNUMBER(X21/(U21*V21)),CEILING(X21/(U21*V21),1),""),"")</f>
        <v/>
      </c>
      <c r="AE21" s="50" t="str">
        <f>IF(ISNUMBER(AD21*AC21),AD21*AC21,"")</f>
        <v/>
      </c>
      <c r="AF21" s="51">
        <f ca="1">IF(ISNUMBER(L23),L23,K23)</f>
        <v>0.81247999999999998</v>
      </c>
      <c r="AG21" s="50" t="str">
        <f ca="1">IF(ISNUMBER(AC21*AD21*K23),AC21*AD21*K23,"")</f>
        <v/>
      </c>
      <c r="AH21" s="48">
        <f>IF(T21="Jakelukuorma-auto",0,IF(T21="Maansiirtoauto",4,IF(T21="Puoliperävaunu",6,8)))</f>
        <v>6</v>
      </c>
      <c r="AI21" s="48">
        <f>IF(AND(T21="Jakelukuorma-auto",U21=6),0,IF(AND(T21="Jakelukuorma-auto",U21=15),2,0))</f>
        <v>0</v>
      </c>
      <c r="AJ21" s="48">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5" x14ac:dyDescent="0.3">
      <c r="B22" s="186" t="s">
        <v>506</v>
      </c>
      <c r="C22" s="160" t="s">
        <v>242</v>
      </c>
      <c r="D22" s="34"/>
      <c r="E22" s="34"/>
      <c r="F22" s="34"/>
      <c r="G22" s="34"/>
      <c r="H22" s="59"/>
      <c r="J22" s="173"/>
      <c r="K22" s="173"/>
      <c r="L22" s="173"/>
      <c r="M22" s="41"/>
      <c r="N22" s="41"/>
      <c r="O22" s="265"/>
      <c r="Q22" s="47"/>
      <c r="R22" s="44"/>
      <c r="S22" s="36"/>
      <c r="T22" s="44"/>
      <c r="U22" s="44"/>
      <c r="V22" s="220"/>
      <c r="W22" s="220"/>
      <c r="X22" s="221"/>
      <c r="Y22" s="44"/>
      <c r="Z22" s="221"/>
      <c r="AA22" s="222"/>
      <c r="AB22" s="221"/>
      <c r="AC22" s="221"/>
      <c r="AD22" s="221"/>
      <c r="AE22" s="61"/>
      <c r="AF22" s="182"/>
      <c r="AG22" s="61"/>
      <c r="AH22" s="36"/>
      <c r="AI22" s="36"/>
      <c r="AJ22" s="36"/>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5" x14ac:dyDescent="0.3">
      <c r="B23" s="45" t="s">
        <v>505</v>
      </c>
      <c r="C23" s="156"/>
      <c r="D23" s="84" t="s">
        <v>52</v>
      </c>
      <c r="G23" s="34"/>
      <c r="H23" s="84"/>
      <c r="J23" s="33" t="s">
        <v>442</v>
      </c>
      <c r="K23" s="96">
        <f ca="1">IF(ISNUMBER(L23),L23,IF($C$133="Ei","",IF(AND($C$133="Kyllä",OR(C21=Pudotusvalikot!$D$14,C21=Pudotusvalikot!$D$15)),Kalusto!$G$97,OFFSET(Kalusto!$G$85,AH21+AJ21+AI21,0,1,1)))*IF(OR(C22=Pudotusvalikot!$V$3,C22=Pudotusvalikot!$V$4),Muut!$E$38,IF(C22=Pudotusvalikot!$V$5,Muut!$E$39,IF(C22=Pudotusvalikot!$V$6,Muut!$E$40,Muut!$E$41))))</f>
        <v>0.81247999999999998</v>
      </c>
      <c r="L23" s="40"/>
      <c r="M23" s="41" t="s">
        <v>204</v>
      </c>
      <c r="N23" s="41"/>
      <c r="O23" s="265"/>
      <c r="P23" s="34"/>
      <c r="Q23" s="52"/>
      <c r="R23" s="218" t="str">
        <f ca="1">IF(ISNUMBER(R21),R21,"")</f>
        <v/>
      </c>
      <c r="S23" s="102" t="s">
        <v>485</v>
      </c>
      <c r="T23" s="44"/>
      <c r="U23" s="44"/>
      <c r="V23" s="44"/>
      <c r="W23" s="44"/>
      <c r="X23" s="44"/>
      <c r="Y23" s="44"/>
      <c r="Z23" s="44"/>
      <c r="AA23" s="44"/>
      <c r="AB23" s="44"/>
      <c r="AC23" s="44"/>
      <c r="AD23" s="44"/>
      <c r="AE23" s="36"/>
      <c r="AF23" s="36"/>
      <c r="AG23" s="36"/>
      <c r="AH23" s="36"/>
      <c r="AI23" s="36"/>
      <c r="AJ23" s="36"/>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5" x14ac:dyDescent="0.3">
      <c r="B24" s="45" t="s">
        <v>507</v>
      </c>
      <c r="C24" s="156"/>
      <c r="D24" s="84" t="s">
        <v>5</v>
      </c>
      <c r="G24" s="34"/>
      <c r="H24" s="84"/>
      <c r="I24" s="53"/>
      <c r="J24" s="53"/>
      <c r="K24" s="34"/>
      <c r="L24" s="34"/>
      <c r="M24" s="84"/>
      <c r="N24" s="84"/>
      <c r="O24" s="100"/>
      <c r="P24" s="53"/>
      <c r="Q24" s="52"/>
      <c r="R24" s="44"/>
      <c r="S24" s="36"/>
      <c r="T24" s="44"/>
      <c r="U24" s="44"/>
      <c r="V24" s="44"/>
      <c r="W24" s="44"/>
      <c r="X24" s="44"/>
      <c r="Y24" s="44"/>
      <c r="Z24" s="44"/>
      <c r="AA24" s="44"/>
      <c r="AB24" s="44"/>
      <c r="AC24" s="44"/>
      <c r="AD24" s="44"/>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5" x14ac:dyDescent="0.3">
      <c r="C25" s="34"/>
      <c r="D25" s="84"/>
      <c r="G25" s="34"/>
      <c r="H25" s="84"/>
      <c r="J25" s="33"/>
      <c r="K25" s="34"/>
      <c r="L25" s="34"/>
      <c r="M25" s="84"/>
      <c r="N25" s="84"/>
      <c r="O25" s="100"/>
      <c r="Q25" s="35"/>
      <c r="R25" s="44"/>
      <c r="S25" s="36"/>
      <c r="T25" s="44"/>
      <c r="U25" s="44"/>
      <c r="V25" s="44"/>
      <c r="W25" s="44"/>
      <c r="X25" s="44"/>
      <c r="Y25" s="44"/>
      <c r="Z25" s="44"/>
      <c r="AA25" s="44"/>
      <c r="AB25" s="44"/>
      <c r="AC25" s="44"/>
      <c r="AD25" s="44"/>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46.5" x14ac:dyDescent="0.3">
      <c r="B26" s="78" t="s">
        <v>668</v>
      </c>
      <c r="C26" s="392" t="s">
        <v>6</v>
      </c>
      <c r="D26" s="394"/>
      <c r="G26" s="82" t="str">
        <f>C26</f>
        <v>Kyllä</v>
      </c>
      <c r="H26" s="84"/>
      <c r="J26" s="33"/>
      <c r="K26" s="34"/>
      <c r="L26" s="34"/>
      <c r="M26" s="84"/>
      <c r="N26" s="84"/>
      <c r="O26" s="100"/>
      <c r="Q26" s="35"/>
      <c r="R26" s="106"/>
      <c r="S26" s="36"/>
      <c r="T26" s="44"/>
      <c r="U26" s="44"/>
      <c r="V26" s="44"/>
      <c r="W26" s="44"/>
      <c r="X26" s="44"/>
      <c r="Y26" s="44"/>
      <c r="Z26" s="44"/>
      <c r="AA26" s="44"/>
      <c r="AB26" s="44"/>
      <c r="AC26" s="44"/>
      <c r="AD26" s="44"/>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5" x14ac:dyDescent="0.3">
      <c r="C27" s="34"/>
      <c r="D27" s="84"/>
      <c r="G27" s="34"/>
      <c r="H27" s="84"/>
      <c r="K27" s="34"/>
      <c r="L27" s="34"/>
      <c r="M27" s="84"/>
      <c r="N27" s="84"/>
      <c r="O27" s="84"/>
      <c r="Q27" s="35"/>
      <c r="R27" s="106"/>
      <c r="S27" s="36"/>
      <c r="T27" s="44"/>
      <c r="U27" s="44"/>
      <c r="V27" s="44"/>
      <c r="W27" s="44"/>
      <c r="X27" s="44"/>
      <c r="Y27" s="44"/>
      <c r="Z27" s="44"/>
      <c r="AA27" s="44"/>
      <c r="AB27" s="44"/>
      <c r="AC27" s="44"/>
      <c r="AD27" s="44"/>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298" customFormat="1" ht="18" x14ac:dyDescent="0.3">
      <c r="B28" s="295" t="s">
        <v>508</v>
      </c>
      <c r="C28" s="296"/>
      <c r="D28" s="297"/>
      <c r="G28" s="296"/>
      <c r="H28" s="297"/>
      <c r="K28" s="296"/>
      <c r="L28" s="296"/>
      <c r="M28" s="297"/>
      <c r="N28" s="297"/>
      <c r="O28" s="300"/>
      <c r="P28" s="320"/>
      <c r="Q28" s="304"/>
      <c r="S28" s="303"/>
      <c r="T28" s="303"/>
      <c r="U28" s="303"/>
      <c r="V28" s="303"/>
      <c r="W28" s="303"/>
      <c r="X28" s="303"/>
      <c r="Y28" s="303"/>
      <c r="Z28" s="303"/>
      <c r="AA28" s="303"/>
      <c r="AB28" s="303"/>
      <c r="AC28" s="303"/>
      <c r="AD28" s="303"/>
      <c r="AE28" s="303"/>
      <c r="AF28" s="303"/>
      <c r="AG28" s="303"/>
      <c r="AH28" s="303"/>
      <c r="AI28" s="303"/>
      <c r="AJ28" s="303"/>
      <c r="AK28" s="303"/>
      <c r="AL28" s="303"/>
      <c r="AM28" s="303"/>
      <c r="AN28" s="304"/>
      <c r="AO28" s="304"/>
      <c r="AP28" s="304"/>
      <c r="AQ28" s="304"/>
      <c r="AR28" s="304"/>
      <c r="AS28" s="304"/>
      <c r="AT28" s="304"/>
      <c r="AU28" s="304"/>
      <c r="AV28" s="304"/>
      <c r="AW28" s="304"/>
      <c r="AX28" s="304"/>
      <c r="AY28" s="304"/>
      <c r="AZ28" s="304"/>
      <c r="BA28" s="304"/>
      <c r="BB28" s="304"/>
      <c r="BC28" s="304"/>
      <c r="BD28" s="304"/>
      <c r="BE28" s="304"/>
    </row>
    <row r="29" spans="2:57" s="31" customFormat="1" ht="16" thickBot="1" x14ac:dyDescent="0.35">
      <c r="B29" s="9"/>
      <c r="C29" s="34"/>
      <c r="D29" s="84"/>
      <c r="G29" s="34"/>
      <c r="H29" s="84"/>
      <c r="J29" s="33"/>
      <c r="K29" s="38" t="s">
        <v>329</v>
      </c>
      <c r="L29" s="38" t="s">
        <v>201</v>
      </c>
      <c r="M29" s="86"/>
      <c r="N29" s="86"/>
      <c r="O29" s="255" t="s">
        <v>644</v>
      </c>
      <c r="P29" s="38"/>
      <c r="Q29" s="35"/>
      <c r="R29" s="221" t="s">
        <v>350</v>
      </c>
      <c r="S29" s="36"/>
      <c r="T29" s="44"/>
      <c r="U29" s="44"/>
      <c r="V29" s="44"/>
      <c r="W29" s="44"/>
      <c r="X29" s="44"/>
      <c r="Y29" s="44"/>
      <c r="Z29" s="44"/>
      <c r="AA29" s="44"/>
      <c r="AB29" s="44"/>
      <c r="AC29" s="44"/>
      <c r="AD29" s="44"/>
      <c r="AE29" s="36"/>
      <c r="AF29" s="36"/>
      <c r="AG29" s="36"/>
      <c r="AH29" s="36"/>
      <c r="AI29" s="36"/>
      <c r="AJ29" s="36"/>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16" thickBot="1" x14ac:dyDescent="0.4">
      <c r="B30" s="39" t="s">
        <v>474</v>
      </c>
      <c r="C30" s="156"/>
      <c r="D30" s="88" t="s">
        <v>174</v>
      </c>
      <c r="E30" s="32"/>
      <c r="F30" s="32"/>
      <c r="G30" s="34"/>
      <c r="H30" s="84"/>
      <c r="J30" s="33" t="s">
        <v>456</v>
      </c>
      <c r="K30" s="96">
        <f>Muut!$H$4</f>
        <v>8.4</v>
      </c>
      <c r="L30" s="40"/>
      <c r="M30" s="41" t="s">
        <v>298</v>
      </c>
      <c r="N30" s="41"/>
      <c r="O30" s="256"/>
      <c r="Q30" s="35"/>
      <c r="R30" s="238" t="str">
        <f>IF(ISNUMBER(C30),IF(ISNUMBER(L30),L30*C30,K30*C30),"")</f>
        <v/>
      </c>
      <c r="S30" s="102" t="s">
        <v>349</v>
      </c>
      <c r="T30" s="223"/>
      <c r="U30" s="223"/>
      <c r="V30" s="223"/>
      <c r="W30" s="44"/>
      <c r="X30" s="44"/>
      <c r="Y30" s="44"/>
      <c r="Z30" s="44"/>
      <c r="AA30" s="44"/>
      <c r="AB30" s="44"/>
      <c r="AC30" s="44"/>
      <c r="AD30" s="44"/>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5" x14ac:dyDescent="0.35">
      <c r="B31" s="170" t="s">
        <v>509</v>
      </c>
      <c r="C31" s="160" t="s">
        <v>242</v>
      </c>
      <c r="D31" s="88"/>
      <c r="E31" s="32"/>
      <c r="F31" s="32"/>
      <c r="G31" s="34"/>
      <c r="H31" s="84"/>
      <c r="J31" s="33" t="s">
        <v>455</v>
      </c>
      <c r="K31" s="96">
        <f>Muut!$H$5*IF(OR(C31=Pudotusvalikot!$V$3,C31=Pudotusvalikot!$V$4),Muut!$E$38,IF(C31=Pudotusvalikot!$V$5,Muut!$E$39,IF(C31=Pudotusvalikot!$V$6,Muut!$E$40,Muut!$E$41)))</f>
        <v>0.12327540000000001</v>
      </c>
      <c r="L31" s="40"/>
      <c r="M31" s="41" t="s">
        <v>298</v>
      </c>
      <c r="N31" s="41"/>
      <c r="O31" s="265"/>
      <c r="Q31" s="35"/>
      <c r="R31" s="239" t="str">
        <f>IF(ISNUMBER(C30),IF(ISNUMBER(L31),L31*C30,K31*C30),"")</f>
        <v/>
      </c>
      <c r="S31" s="102" t="s">
        <v>172</v>
      </c>
      <c r="T31" s="223"/>
      <c r="U31" s="223"/>
      <c r="V31" s="223"/>
      <c r="W31" s="44"/>
      <c r="X31" s="44"/>
      <c r="Y31" s="44"/>
      <c r="Z31" s="44"/>
      <c r="AA31" s="44"/>
      <c r="AB31" s="44"/>
      <c r="AC31" s="44"/>
      <c r="AD31" s="44"/>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5" x14ac:dyDescent="0.35">
      <c r="B32" s="39" t="s">
        <v>475</v>
      </c>
      <c r="C32" s="156"/>
      <c r="D32" s="88" t="s">
        <v>174</v>
      </c>
      <c r="E32" s="32"/>
      <c r="F32" s="32"/>
      <c r="G32" s="34"/>
      <c r="H32" s="84"/>
      <c r="J32" s="33" t="s">
        <v>454</v>
      </c>
      <c r="K32" s="96">
        <f>Muut!$H$6*IF(OR(C33=Pudotusvalikot!$V$3,C33=Pudotusvalikot!$V$4),Muut!$E$38,IF(C33=Pudotusvalikot!$V$5,Muut!$E$39,IF(C33=Pudotusvalikot!$V$6,Muut!$E$40,Muut!$E$41)))</f>
        <v>4.0956000000000006E-2</v>
      </c>
      <c r="L32" s="40"/>
      <c r="M32" s="41" t="s">
        <v>298</v>
      </c>
      <c r="N32" s="41"/>
      <c r="O32" s="265"/>
      <c r="Q32" s="35"/>
      <c r="R32" s="216" t="str">
        <f>IF(ISNUMBER(#REF!),IF(ISNUMBER(L32),L32*#REF!,K32*#REF!),"")</f>
        <v/>
      </c>
      <c r="S32" s="102" t="s">
        <v>172</v>
      </c>
      <c r="T32" s="223"/>
      <c r="U32" s="223"/>
      <c r="V32" s="223"/>
      <c r="W32" s="44"/>
      <c r="X32" s="44"/>
      <c r="Y32" s="44"/>
      <c r="Z32" s="44"/>
      <c r="AA32" s="44"/>
      <c r="AB32" s="44"/>
      <c r="AC32" s="44"/>
      <c r="AD32" s="44"/>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5" x14ac:dyDescent="0.3">
      <c r="B33" s="170" t="s">
        <v>509</v>
      </c>
      <c r="C33" s="160" t="s">
        <v>242</v>
      </c>
      <c r="D33" s="34"/>
      <c r="E33" s="34"/>
      <c r="F33" s="34"/>
      <c r="G33" s="34"/>
      <c r="H33" s="59"/>
      <c r="J33" s="173"/>
      <c r="K33" s="173"/>
      <c r="L33" s="173"/>
      <c r="M33" s="41"/>
      <c r="N33" s="41"/>
      <c r="O33" s="265"/>
      <c r="Q33" s="47"/>
      <c r="R33" s="232"/>
      <c r="S33" s="102"/>
      <c r="T33" s="44"/>
      <c r="U33" s="44"/>
      <c r="V33" s="220"/>
      <c r="W33" s="220"/>
      <c r="X33" s="221"/>
      <c r="Y33" s="44"/>
      <c r="Z33" s="221"/>
      <c r="AA33" s="222"/>
      <c r="AB33" s="221"/>
      <c r="AC33" s="221"/>
      <c r="AD33" s="221"/>
      <c r="AE33" s="61"/>
      <c r="AF33" s="182"/>
      <c r="AG33" s="61"/>
      <c r="AH33" s="36"/>
      <c r="AI33" s="36"/>
      <c r="AJ33" s="36"/>
      <c r="AK33" s="108"/>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5" x14ac:dyDescent="0.35">
      <c r="B34" s="39" t="s">
        <v>393</v>
      </c>
      <c r="C34" s="156"/>
      <c r="D34" s="88" t="s">
        <v>175</v>
      </c>
      <c r="E34" s="32"/>
      <c r="F34" s="32"/>
      <c r="G34" s="34"/>
      <c r="H34" s="84"/>
      <c r="J34" s="33" t="s">
        <v>453</v>
      </c>
      <c r="K34" s="96">
        <f>Muut!$H$7*IF(OR(C35=Pudotusvalikot!$V$3,C35=Pudotusvalikot!$V$4),Muut!$E$38,IF(C35=Pudotusvalikot!$V$5,Muut!$E$39,IF(C35=Pudotusvalikot!$V$6,Muut!$E$40,Muut!$E$41)))</f>
        <v>0.51195000000000002</v>
      </c>
      <c r="L34" s="40"/>
      <c r="M34" s="41" t="s">
        <v>226</v>
      </c>
      <c r="N34" s="41"/>
      <c r="O34" s="265"/>
      <c r="Q34" s="35"/>
      <c r="R34" s="216" t="str">
        <f>IF(ISNUMBER(C34),IF(ISNUMBER(L34),L34*C34,K34*C34),"")</f>
        <v/>
      </c>
      <c r="S34" s="102" t="s">
        <v>172</v>
      </c>
      <c r="T34" s="223"/>
      <c r="U34" s="223"/>
      <c r="V34" s="223"/>
      <c r="W34" s="44"/>
      <c r="X34" s="44"/>
      <c r="Y34" s="44"/>
      <c r="Z34" s="44"/>
      <c r="AA34" s="44"/>
      <c r="AB34" s="44"/>
      <c r="AC34" s="44"/>
      <c r="AD34" s="44"/>
      <c r="AE34" s="36"/>
      <c r="AF34" s="36"/>
      <c r="AG34" s="36"/>
      <c r="AH34" s="36"/>
      <c r="AI34" s="36"/>
      <c r="AJ34" s="36"/>
      <c r="AK34" s="36"/>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5" x14ac:dyDescent="0.3">
      <c r="B35" s="170" t="s">
        <v>509</v>
      </c>
      <c r="C35" s="160" t="s">
        <v>242</v>
      </c>
      <c r="D35" s="34"/>
      <c r="E35" s="34"/>
      <c r="F35" s="34"/>
      <c r="G35" s="34"/>
      <c r="H35" s="59"/>
      <c r="J35" s="173"/>
      <c r="K35" s="173"/>
      <c r="L35" s="173"/>
      <c r="M35" s="41"/>
      <c r="N35" s="41"/>
      <c r="O35" s="265"/>
      <c r="Q35" s="47"/>
      <c r="R35" s="232"/>
      <c r="S35" s="102"/>
      <c r="T35" s="44"/>
      <c r="U35" s="44"/>
      <c r="V35" s="220"/>
      <c r="W35" s="220"/>
      <c r="X35" s="221"/>
      <c r="Y35" s="44"/>
      <c r="Z35" s="221"/>
      <c r="AA35" s="222"/>
      <c r="AB35" s="221"/>
      <c r="AC35" s="221"/>
      <c r="AD35" s="221"/>
      <c r="AE35" s="61"/>
      <c r="AF35" s="182"/>
      <c r="AG35" s="61"/>
      <c r="AH35" s="36"/>
      <c r="AI35" s="36"/>
      <c r="AJ35" s="36"/>
      <c r="AK35" s="108"/>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5" x14ac:dyDescent="0.3">
      <c r="B36" s="9"/>
      <c r="C36" s="34"/>
      <c r="D36" s="84"/>
      <c r="G36" s="34"/>
      <c r="H36" s="84"/>
      <c r="K36" s="34"/>
      <c r="L36" s="34"/>
      <c r="M36" s="84"/>
      <c r="N36" s="84"/>
      <c r="O36" s="84"/>
      <c r="Q36" s="35"/>
      <c r="R36" s="44"/>
      <c r="S36" s="36"/>
      <c r="T36" s="44"/>
      <c r="U36" s="44"/>
      <c r="V36" s="44"/>
      <c r="W36" s="44"/>
      <c r="X36" s="44"/>
      <c r="Y36" s="44"/>
      <c r="Z36" s="44"/>
      <c r="AA36" s="44"/>
      <c r="AB36" s="44"/>
      <c r="AC36" s="44"/>
      <c r="AD36" s="44"/>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row>
    <row r="37" spans="2:57" s="298" customFormat="1" ht="18" x14ac:dyDescent="0.3">
      <c r="B37" s="295" t="s">
        <v>593</v>
      </c>
      <c r="C37" s="296"/>
      <c r="D37" s="297"/>
      <c r="G37" s="296"/>
      <c r="H37" s="297"/>
      <c r="K37" s="296"/>
      <c r="L37" s="296"/>
      <c r="M37" s="297"/>
      <c r="N37" s="297"/>
      <c r="O37" s="300"/>
      <c r="P37" s="320"/>
      <c r="Q37" s="304"/>
      <c r="S37" s="303"/>
      <c r="T37" s="303"/>
      <c r="U37" s="303"/>
      <c r="V37" s="303"/>
      <c r="W37" s="303"/>
      <c r="X37" s="303"/>
      <c r="Y37" s="303"/>
      <c r="Z37" s="303"/>
      <c r="AA37" s="303"/>
      <c r="AB37" s="303"/>
      <c r="AC37" s="303"/>
      <c r="AD37" s="303"/>
      <c r="AE37" s="303"/>
      <c r="AF37" s="303"/>
      <c r="AG37" s="303"/>
      <c r="AH37" s="303"/>
      <c r="AI37" s="303"/>
      <c r="AJ37" s="303"/>
      <c r="AK37" s="303"/>
      <c r="AL37" s="303"/>
      <c r="AM37" s="303"/>
      <c r="AN37" s="304"/>
      <c r="AO37" s="304"/>
      <c r="AP37" s="304"/>
      <c r="AQ37" s="304"/>
      <c r="AR37" s="304"/>
      <c r="AS37" s="304"/>
      <c r="AT37" s="304"/>
      <c r="AU37" s="304"/>
      <c r="AV37" s="304"/>
      <c r="AW37" s="304"/>
      <c r="AX37" s="304"/>
      <c r="AY37" s="304"/>
      <c r="AZ37" s="304"/>
      <c r="BA37" s="304"/>
      <c r="BB37" s="304"/>
      <c r="BC37" s="304"/>
      <c r="BD37" s="304"/>
      <c r="BE37" s="304"/>
    </row>
    <row r="38" spans="2:57" s="31" customFormat="1" ht="15.5" x14ac:dyDescent="0.3">
      <c r="B38" s="9"/>
      <c r="D38" s="84"/>
      <c r="H38" s="84"/>
      <c r="J38" s="33"/>
      <c r="K38" s="38" t="s">
        <v>329</v>
      </c>
      <c r="L38" s="38" t="s">
        <v>201</v>
      </c>
      <c r="M38" s="84"/>
      <c r="N38" s="84"/>
      <c r="O38" s="255" t="s">
        <v>644</v>
      </c>
      <c r="P38" s="38"/>
      <c r="Q38" s="35"/>
      <c r="R38" s="221" t="s">
        <v>350</v>
      </c>
      <c r="S38" s="36"/>
      <c r="T38" s="44" t="s">
        <v>50</v>
      </c>
      <c r="U38" s="44" t="s">
        <v>351</v>
      </c>
      <c r="V38" s="44" t="s">
        <v>352</v>
      </c>
      <c r="W38" s="44"/>
      <c r="X38" s="44"/>
      <c r="Y38" s="44"/>
      <c r="Z38" s="44"/>
      <c r="AA38" s="44"/>
      <c r="AB38" s="44"/>
      <c r="AC38" s="44"/>
      <c r="AD38" s="44"/>
      <c r="AE38" s="36"/>
      <c r="AF38" s="36"/>
      <c r="AG38" s="36"/>
      <c r="AH38" s="36"/>
      <c r="AI38" s="36"/>
      <c r="AJ38" s="36"/>
      <c r="AK38" s="36"/>
      <c r="AL38" s="36"/>
      <c r="AM38" s="36"/>
      <c r="AN38" s="37"/>
      <c r="AO38" s="37"/>
      <c r="AP38" s="37"/>
      <c r="AQ38" s="37"/>
      <c r="AR38" s="37"/>
      <c r="AS38" s="37"/>
      <c r="AT38" s="37"/>
      <c r="AU38" s="37"/>
      <c r="AV38" s="37"/>
      <c r="AW38" s="37"/>
      <c r="AX38" s="37"/>
      <c r="AY38" s="37"/>
      <c r="AZ38" s="37"/>
      <c r="BA38" s="37"/>
      <c r="BB38" s="37"/>
      <c r="BC38" s="37"/>
      <c r="BD38" s="37"/>
      <c r="BE38" s="37"/>
    </row>
    <row r="39" spans="2:57" s="31" customFormat="1" ht="31" x14ac:dyDescent="0.3">
      <c r="B39" s="78" t="s">
        <v>575</v>
      </c>
      <c r="C39" s="183"/>
      <c r="D39" s="89" t="s">
        <v>175</v>
      </c>
      <c r="H39" s="84"/>
      <c r="J39" s="33" t="s">
        <v>470</v>
      </c>
      <c r="K39" s="110">
        <f>IF(ISNUMBER(L39),L39,IF(OR(C40=Pudotusvalikot!$D$67,C40=Pudotusvalikot!$D$68),Kalusto!$E$9,VLOOKUP(C40,Kalusto!$C$5:$E$42,3,FALSE))*IF(OR(C41=Pudotusvalikot!$V$3,C41=Pudotusvalikot!$V$4),Muut!$E$38,IF(C41=Pudotusvalikot!$V$5,Muut!$E$39,IF(C41=Pudotusvalikot!$V$6,Muut!$E$40,Muut!$E$41))))</f>
        <v>34.130000000000003</v>
      </c>
      <c r="L39" s="40"/>
      <c r="M39" s="41" t="s">
        <v>205</v>
      </c>
      <c r="N39" s="41"/>
      <c r="O39" s="256"/>
      <c r="P39" s="151"/>
      <c r="Q39" s="37"/>
      <c r="R39" s="218" t="str">
        <f>IF(ISNUMBER(K39*V39),K39*V39,"")</f>
        <v/>
      </c>
      <c r="S39" s="102" t="s">
        <v>172</v>
      </c>
      <c r="T39" s="218" t="str">
        <f>IF(ISNUMBER(C39),C39,"")</f>
        <v/>
      </c>
      <c r="U39" s="224">
        <f>IF(D42="h","",IF(ISNUMBER(C42),C42,""))</f>
        <v>1.2E-2</v>
      </c>
      <c r="V39" s="218" t="str">
        <f>IF(ISNUMBER(T39),IF(D42="h",C42,IF(ISNUMBER(T39*U39),IF(D42="m3/h",T39/U39,T39*U39),"")),"")</f>
        <v/>
      </c>
      <c r="W39" s="225"/>
      <c r="X39" s="221"/>
      <c r="Y39" s="44"/>
      <c r="Z39" s="44"/>
      <c r="AA39" s="226"/>
      <c r="AB39" s="44"/>
      <c r="AC39" s="44"/>
      <c r="AD39" s="44"/>
      <c r="AE39" s="36"/>
      <c r="AF39" s="36"/>
      <c r="AG39" s="36"/>
      <c r="AH39" s="36"/>
      <c r="AI39" s="36"/>
      <c r="AJ39" s="36"/>
      <c r="AK39" s="36"/>
      <c r="AL39" s="36"/>
      <c r="AM39" s="36"/>
      <c r="AN39" s="37"/>
      <c r="AO39" s="37"/>
      <c r="AP39" s="37"/>
      <c r="AQ39" s="37"/>
      <c r="AR39" s="37"/>
      <c r="AS39" s="37"/>
      <c r="AT39" s="37"/>
      <c r="AU39" s="37"/>
      <c r="AV39" s="37"/>
      <c r="AW39" s="37"/>
      <c r="AX39" s="37"/>
      <c r="AY39" s="37"/>
      <c r="AZ39" s="37"/>
      <c r="BA39" s="37"/>
      <c r="BB39" s="37"/>
      <c r="BC39" s="37"/>
      <c r="BD39" s="37"/>
      <c r="BE39" s="37"/>
    </row>
    <row r="40" spans="2:57" s="31" customFormat="1" ht="15.5" x14ac:dyDescent="0.3">
      <c r="B40" s="54" t="s">
        <v>510</v>
      </c>
      <c r="C40" s="392" t="s">
        <v>128</v>
      </c>
      <c r="D40" s="393"/>
      <c r="E40" s="393"/>
      <c r="F40" s="393"/>
      <c r="G40" s="394"/>
      <c r="J40" s="33"/>
      <c r="K40" s="34"/>
      <c r="L40" s="34"/>
      <c r="M40" s="84"/>
      <c r="N40" s="84"/>
      <c r="O40" s="100"/>
      <c r="P40" s="147"/>
      <c r="Q40" s="105"/>
      <c r="R40" s="106"/>
      <c r="S40" s="36"/>
      <c r="T40" s="44"/>
      <c r="U40" s="44"/>
      <c r="V40" s="44"/>
      <c r="W40" s="44"/>
      <c r="X40" s="44"/>
      <c r="Y40" s="44"/>
      <c r="Z40" s="44"/>
      <c r="AA40" s="44"/>
      <c r="AB40" s="44"/>
      <c r="AC40" s="44"/>
      <c r="AD40" s="44"/>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5" x14ac:dyDescent="0.3">
      <c r="B41" s="170" t="s">
        <v>509</v>
      </c>
      <c r="C41" s="160" t="s">
        <v>242</v>
      </c>
      <c r="D41" s="34"/>
      <c r="E41" s="34"/>
      <c r="F41" s="34"/>
      <c r="G41" s="34"/>
      <c r="H41" s="59"/>
      <c r="J41" s="173"/>
      <c r="K41" s="173"/>
      <c r="L41" s="173"/>
      <c r="M41" s="41"/>
      <c r="N41" s="41"/>
      <c r="O41" s="265"/>
      <c r="Q41" s="47"/>
      <c r="R41" s="232"/>
      <c r="S41" s="102"/>
      <c r="T41" s="44"/>
      <c r="U41" s="44"/>
      <c r="V41" s="220"/>
      <c r="W41" s="220"/>
      <c r="X41" s="221"/>
      <c r="Y41" s="44"/>
      <c r="Z41" s="221"/>
      <c r="AA41" s="222"/>
      <c r="AB41" s="221"/>
      <c r="AC41" s="221"/>
      <c r="AD41" s="221"/>
      <c r="AE41" s="61"/>
      <c r="AF41" s="182"/>
      <c r="AG41" s="61"/>
      <c r="AH41" s="36"/>
      <c r="AI41" s="36"/>
      <c r="AJ41" s="36"/>
      <c r="AK41" s="108"/>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31" x14ac:dyDescent="0.3">
      <c r="B42" s="78" t="s">
        <v>511</v>
      </c>
      <c r="C42" s="206">
        <v>1.2E-2</v>
      </c>
      <c r="D42" s="89" t="s">
        <v>156</v>
      </c>
      <c r="H42" s="84"/>
      <c r="J42" s="171" t="s">
        <v>717</v>
      </c>
      <c r="M42" s="84"/>
      <c r="N42" s="84"/>
      <c r="O42" s="100"/>
      <c r="P42" s="149"/>
      <c r="Q42" s="105"/>
      <c r="R42" s="106"/>
      <c r="S42" s="36"/>
      <c r="T42" s="44"/>
      <c r="U42" s="44"/>
      <c r="V42" s="44"/>
      <c r="W42" s="44"/>
      <c r="X42" s="44"/>
      <c r="Y42" s="44"/>
      <c r="Z42" s="44"/>
      <c r="AA42" s="44"/>
      <c r="AB42" s="44"/>
      <c r="AC42" s="44"/>
      <c r="AD42" s="44"/>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5" x14ac:dyDescent="0.3">
      <c r="C43" s="65"/>
      <c r="D43" s="84"/>
      <c r="H43" s="84"/>
      <c r="J43" s="33"/>
      <c r="M43" s="84"/>
      <c r="N43" s="84"/>
      <c r="O43" s="84"/>
      <c r="Q43" s="35"/>
      <c r="R43" s="106"/>
      <c r="S43" s="36"/>
      <c r="T43" s="44"/>
      <c r="U43" s="44"/>
      <c r="V43" s="44"/>
      <c r="W43" s="44"/>
      <c r="X43" s="44"/>
      <c r="Y43" s="44"/>
      <c r="Z43" s="44"/>
      <c r="AA43" s="44"/>
      <c r="AB43" s="44"/>
      <c r="AC43" s="44"/>
      <c r="AD43" s="44"/>
      <c r="AE43" s="36"/>
      <c r="AF43" s="36"/>
      <c r="AG43" s="36"/>
      <c r="AH43" s="36"/>
      <c r="AI43" s="36"/>
      <c r="AJ43" s="36"/>
      <c r="AK43" s="36"/>
      <c r="AL43" s="36"/>
      <c r="AM43" s="36"/>
      <c r="AN43" s="37"/>
      <c r="AO43" s="37"/>
      <c r="AP43" s="37"/>
      <c r="AQ43" s="37"/>
      <c r="AR43" s="37"/>
      <c r="AS43" s="37"/>
      <c r="AT43" s="37"/>
      <c r="AU43" s="37"/>
      <c r="AV43" s="37"/>
      <c r="AW43" s="37"/>
      <c r="AX43" s="37"/>
      <c r="AY43" s="37"/>
      <c r="AZ43" s="37"/>
      <c r="BA43" s="37"/>
      <c r="BB43" s="37"/>
      <c r="BC43" s="37"/>
      <c r="BD43" s="37"/>
      <c r="BE43" s="37"/>
    </row>
    <row r="44" spans="2:57" s="298" customFormat="1" ht="18" x14ac:dyDescent="0.3">
      <c r="B44" s="295" t="s">
        <v>636</v>
      </c>
      <c r="C44" s="296"/>
      <c r="D44" s="297"/>
      <c r="G44" s="296"/>
      <c r="H44" s="297"/>
      <c r="K44" s="296"/>
      <c r="L44" s="296"/>
      <c r="M44" s="297"/>
      <c r="N44" s="297"/>
      <c r="O44" s="300"/>
      <c r="P44" s="320"/>
      <c r="Q44" s="304"/>
      <c r="S44" s="303"/>
      <c r="T44" s="303"/>
      <c r="U44" s="303"/>
      <c r="V44" s="303"/>
      <c r="W44" s="303"/>
      <c r="X44" s="303"/>
      <c r="Y44" s="303"/>
      <c r="Z44" s="303"/>
      <c r="AA44" s="303"/>
      <c r="AB44" s="303"/>
      <c r="AC44" s="303"/>
      <c r="AD44" s="303"/>
      <c r="AE44" s="303"/>
      <c r="AF44" s="303"/>
      <c r="AG44" s="303"/>
      <c r="AH44" s="303"/>
      <c r="AI44" s="303"/>
      <c r="AJ44" s="303"/>
      <c r="AK44" s="303"/>
      <c r="AL44" s="303"/>
      <c r="AM44" s="303"/>
      <c r="AN44" s="304"/>
      <c r="AO44" s="304"/>
      <c r="AP44" s="304"/>
      <c r="AQ44" s="304"/>
      <c r="AR44" s="304"/>
      <c r="AS44" s="304"/>
      <c r="AT44" s="304"/>
      <c r="AU44" s="304"/>
      <c r="AV44" s="304"/>
      <c r="AW44" s="304"/>
      <c r="AX44" s="304"/>
      <c r="AY44" s="304"/>
      <c r="AZ44" s="304"/>
      <c r="BA44" s="304"/>
      <c r="BB44" s="304"/>
      <c r="BC44" s="304"/>
      <c r="BD44" s="304"/>
      <c r="BE44" s="304"/>
    </row>
    <row r="45" spans="2:57" s="31" customFormat="1" ht="15.5" x14ac:dyDescent="0.3">
      <c r="B45" s="54"/>
      <c r="Q45" s="133"/>
      <c r="R45" s="225"/>
      <c r="S45" s="108"/>
      <c r="T45" s="225"/>
      <c r="U45" s="225"/>
      <c r="V45" s="225"/>
      <c r="W45" s="225"/>
      <c r="X45" s="225"/>
      <c r="Y45" s="225"/>
      <c r="Z45" s="225"/>
      <c r="AA45" s="225"/>
      <c r="AB45" s="225"/>
      <c r="AC45" s="225"/>
      <c r="AD45" s="225"/>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row>
    <row r="46" spans="2:57" s="31" customFormat="1" ht="15.5" x14ac:dyDescent="0.3">
      <c r="B46" s="155" t="s">
        <v>389</v>
      </c>
      <c r="C46" s="54"/>
      <c r="D46" s="54"/>
      <c r="E46" s="54"/>
      <c r="F46" s="54"/>
      <c r="G46" s="54"/>
      <c r="H46" s="54"/>
      <c r="I46" s="54"/>
      <c r="K46" s="38" t="s">
        <v>329</v>
      </c>
      <c r="L46" s="38" t="s">
        <v>201</v>
      </c>
      <c r="M46" s="84"/>
      <c r="N46" s="84"/>
      <c r="O46" s="255" t="s">
        <v>644</v>
      </c>
      <c r="P46" s="38"/>
      <c r="Q46" s="35"/>
      <c r="R46" s="221" t="s">
        <v>350</v>
      </c>
      <c r="S46" s="36"/>
      <c r="T46" s="44" t="s">
        <v>275</v>
      </c>
      <c r="U46" s="44" t="s">
        <v>351</v>
      </c>
      <c r="V46" s="44" t="s">
        <v>352</v>
      </c>
      <c r="W46" s="44"/>
      <c r="X46" s="44"/>
      <c r="Y46" s="44"/>
      <c r="Z46" s="44"/>
      <c r="AA46" s="226"/>
      <c r="AB46" s="44"/>
      <c r="AC46" s="44"/>
      <c r="AD46" s="44"/>
      <c r="AE46" s="36"/>
      <c r="AF46" s="36"/>
      <c r="AG46" s="36"/>
      <c r="AH46" s="36"/>
      <c r="AI46" s="36"/>
      <c r="AJ46" s="36"/>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5" x14ac:dyDescent="0.3">
      <c r="B47" s="54" t="s">
        <v>510</v>
      </c>
      <c r="C47" s="392" t="s">
        <v>128</v>
      </c>
      <c r="D47" s="393"/>
      <c r="E47" s="393"/>
      <c r="F47" s="393"/>
      <c r="G47" s="394"/>
      <c r="J47" s="33" t="s">
        <v>470</v>
      </c>
      <c r="K47" s="112">
        <f>IF(ISNUMBER(L47),L47,IF(OR(C47=Pudotusvalikot!$D$67,C47=Pudotusvalikot!$D$68),"--",VLOOKUP(C47,Kalusto!$C$5:$E$42,3,FALSE)*IF(OR(C48=Pudotusvalikot!$V$3,C48=Pudotusvalikot!$V$4),Muut!$E$38,IF(C48=Pudotusvalikot!$V$5,Muut!$E$39,IF(C48=Pudotusvalikot!$V$6,Muut!$E$40,Muut!$E$41)))))</f>
        <v>34.130000000000003</v>
      </c>
      <c r="L47" s="40"/>
      <c r="M47" s="41" t="s">
        <v>205</v>
      </c>
      <c r="N47" s="41"/>
      <c r="O47" s="256"/>
      <c r="P47" s="60"/>
      <c r="Q47" s="35"/>
      <c r="R47" s="218" t="str">
        <f>IF(ISNUMBER(K47*V47),K47*V47,"")</f>
        <v/>
      </c>
      <c r="S47" s="102" t="s">
        <v>172</v>
      </c>
      <c r="T47" s="218" t="str">
        <f>IF(ISNUMBER(C49),C49,"")</f>
        <v/>
      </c>
      <c r="U47" s="224" t="str">
        <f>IF(D49="h","",IF(ISNUMBER(C49),C49,""))</f>
        <v/>
      </c>
      <c r="V47" s="218" t="str">
        <f>IF(ISNUMBER(T47),IF(D49="h",C49,IF(ISNUMBER(T47*U47),IF(D49="m3/h",T47/U47,T47*U47),"")),"")</f>
        <v/>
      </c>
      <c r="W47" s="225"/>
      <c r="X47" s="221"/>
      <c r="Y47" s="44"/>
      <c r="Z47" s="44"/>
      <c r="AA47" s="44"/>
      <c r="AB47" s="44"/>
      <c r="AC47" s="44"/>
      <c r="AD47" s="44"/>
      <c r="AE47" s="36"/>
      <c r="AF47" s="36"/>
      <c r="AG47" s="36"/>
      <c r="AH47" s="36"/>
      <c r="AI47" s="36"/>
      <c r="AJ47" s="36"/>
      <c r="AK47" s="36"/>
      <c r="AL47" s="36"/>
      <c r="AM47" s="36"/>
      <c r="AN47" s="37"/>
      <c r="AO47" s="37"/>
      <c r="AP47" s="37"/>
      <c r="AQ47" s="37"/>
      <c r="AR47" s="37"/>
      <c r="AS47" s="37"/>
      <c r="AT47" s="37"/>
      <c r="AU47" s="37"/>
      <c r="AV47" s="37"/>
      <c r="AW47" s="37"/>
      <c r="AX47" s="37"/>
      <c r="AY47" s="37"/>
      <c r="AZ47" s="37"/>
      <c r="BA47" s="37"/>
      <c r="BB47" s="37"/>
      <c r="BC47" s="37"/>
      <c r="BD47" s="37"/>
      <c r="BE47" s="37"/>
    </row>
    <row r="48" spans="2:57" s="31" customFormat="1" ht="15.5" x14ac:dyDescent="0.3">
      <c r="B48" s="170" t="s">
        <v>509</v>
      </c>
      <c r="C48" s="160" t="s">
        <v>242</v>
      </c>
      <c r="D48" s="34"/>
      <c r="E48" s="34"/>
      <c r="F48" s="34"/>
      <c r="G48" s="34"/>
      <c r="J48" s="33"/>
      <c r="K48" s="33"/>
      <c r="L48" s="33"/>
      <c r="M48" s="41"/>
      <c r="N48" s="41"/>
      <c r="O48" s="265"/>
      <c r="P48" s="60"/>
      <c r="Q48" s="35"/>
      <c r="R48" s="221"/>
      <c r="S48" s="102"/>
      <c r="T48" s="221"/>
      <c r="U48" s="226"/>
      <c r="V48" s="221"/>
      <c r="W48" s="225"/>
      <c r="X48" s="221"/>
      <c r="Y48" s="44"/>
      <c r="Z48" s="44"/>
      <c r="AA48" s="44"/>
      <c r="AB48" s="44"/>
      <c r="AC48" s="44"/>
      <c r="AD48" s="44"/>
      <c r="AE48" s="36"/>
      <c r="AF48" s="36"/>
      <c r="AG48" s="36"/>
      <c r="AH48" s="36"/>
      <c r="AI48" s="36"/>
      <c r="AJ48" s="36"/>
      <c r="AK48" s="36"/>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5" x14ac:dyDescent="0.3">
      <c r="B49" s="45" t="s">
        <v>392</v>
      </c>
      <c r="C49" s="159"/>
      <c r="D49" s="84" t="s">
        <v>51</v>
      </c>
      <c r="E49" s="34"/>
      <c r="F49" s="34"/>
      <c r="G49" s="34"/>
      <c r="J49" s="33"/>
      <c r="M49" s="84"/>
      <c r="N49" s="84"/>
      <c r="O49" s="100"/>
      <c r="P49" s="42"/>
      <c r="Q49" s="52"/>
      <c r="R49" s="240"/>
      <c r="S49" s="36"/>
      <c r="T49" s="44"/>
      <c r="U49" s="44"/>
      <c r="V49" s="44"/>
      <c r="W49" s="44"/>
      <c r="X49" s="44"/>
      <c r="Y49" s="44"/>
      <c r="Z49" s="44"/>
      <c r="AA49" s="44"/>
      <c r="AB49" s="44"/>
      <c r="AC49" s="44"/>
      <c r="AD49" s="44"/>
      <c r="AE49" s="36"/>
      <c r="AF49" s="36"/>
      <c r="AG49" s="36"/>
      <c r="AH49" s="36"/>
      <c r="AI49" s="36"/>
      <c r="AJ49" s="36"/>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5" x14ac:dyDescent="0.3">
      <c r="B50" s="155" t="s">
        <v>390</v>
      </c>
      <c r="K50" s="38" t="s">
        <v>329</v>
      </c>
      <c r="L50" s="38" t="s">
        <v>201</v>
      </c>
      <c r="M50" s="84"/>
      <c r="N50" s="84"/>
      <c r="O50" s="100"/>
      <c r="Q50" s="133"/>
      <c r="R50" s="221" t="s">
        <v>350</v>
      </c>
      <c r="S50" s="108"/>
      <c r="T50" s="44" t="s">
        <v>275</v>
      </c>
      <c r="U50" s="44" t="s">
        <v>351</v>
      </c>
      <c r="V50" s="44" t="s">
        <v>352</v>
      </c>
      <c r="W50" s="44"/>
      <c r="X50" s="225"/>
      <c r="Y50" s="225"/>
      <c r="Z50" s="225"/>
      <c r="AA50" s="225"/>
      <c r="AB50" s="225"/>
      <c r="AC50" s="225"/>
      <c r="AD50" s="225"/>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row>
    <row r="51" spans="2:57" s="31" customFormat="1" ht="15.65" customHeight="1" x14ac:dyDescent="0.3">
      <c r="B51" s="54" t="s">
        <v>510</v>
      </c>
      <c r="C51" s="392" t="s">
        <v>128</v>
      </c>
      <c r="D51" s="393"/>
      <c r="E51" s="393"/>
      <c r="F51" s="393"/>
      <c r="G51" s="394"/>
      <c r="J51" s="33" t="s">
        <v>470</v>
      </c>
      <c r="K51" s="112">
        <f>IF(ISNUMBER(L51),L51,IF(OR(C51=Pudotusvalikot!$D$67,C51=Pudotusvalikot!$D$68),"--",VLOOKUP(C51,Kalusto!$C$5:$E$42,3,FALSE)*IF(OR(C52=Pudotusvalikot!$V$3,C52=Pudotusvalikot!$V$4),Muut!$E$38,IF(C52=Pudotusvalikot!$V$5,Muut!$E$39,IF(C52=Pudotusvalikot!$V$6,Muut!$E$40,Muut!$E$41)))))</f>
        <v>34.130000000000003</v>
      </c>
      <c r="L51" s="40"/>
      <c r="M51" s="41" t="s">
        <v>205</v>
      </c>
      <c r="N51" s="41"/>
      <c r="O51" s="265"/>
      <c r="P51" s="60"/>
      <c r="Q51" s="35"/>
      <c r="R51" s="218" t="str">
        <f>IF(ISNUMBER(K51*V51),K51*V51,"")</f>
        <v/>
      </c>
      <c r="S51" s="102" t="s">
        <v>172</v>
      </c>
      <c r="T51" s="218" t="str">
        <f>IF(ISNUMBER(C53),C53,"")</f>
        <v/>
      </c>
      <c r="U51" s="224" t="str">
        <f>IF(D53="h","",IF(ISNUMBER(C53),C53,""))</f>
        <v/>
      </c>
      <c r="V51" s="218" t="str">
        <f>IF(ISNUMBER(T51),IF(D53="h",C53,IF(ISNUMBER(T51*U51),IF(D53="m3/h",T51/U51,T51*U51),"")),"")</f>
        <v/>
      </c>
      <c r="W51" s="225"/>
      <c r="X51" s="221"/>
      <c r="Y51" s="44"/>
      <c r="Z51" s="44"/>
      <c r="AA51" s="44"/>
      <c r="AB51" s="44"/>
      <c r="AC51" s="44"/>
      <c r="AD51" s="44"/>
      <c r="AE51" s="36"/>
      <c r="AF51" s="36"/>
      <c r="AG51" s="36"/>
      <c r="AH51" s="36"/>
      <c r="AI51" s="36"/>
      <c r="AJ51" s="36"/>
      <c r="AK51" s="36"/>
      <c r="AL51" s="36"/>
      <c r="AM51" s="36"/>
      <c r="AN51" s="37"/>
      <c r="AO51" s="37"/>
      <c r="AP51" s="37"/>
      <c r="AQ51" s="37"/>
      <c r="AR51" s="37"/>
      <c r="AS51" s="37"/>
      <c r="AT51" s="37"/>
      <c r="AU51" s="37"/>
      <c r="AV51" s="37"/>
      <c r="AW51" s="37"/>
      <c r="AX51" s="37"/>
      <c r="AY51" s="37"/>
      <c r="AZ51" s="37"/>
      <c r="BA51" s="37"/>
      <c r="BB51" s="37"/>
      <c r="BC51" s="37"/>
      <c r="BD51" s="37"/>
      <c r="BE51" s="37"/>
    </row>
    <row r="52" spans="2:57" s="31" customFormat="1" ht="15.65" customHeight="1" x14ac:dyDescent="0.3">
      <c r="B52" s="170" t="s">
        <v>509</v>
      </c>
      <c r="C52" s="160" t="s">
        <v>242</v>
      </c>
      <c r="D52" s="34"/>
      <c r="E52" s="34"/>
      <c r="F52" s="34"/>
      <c r="G52" s="34"/>
      <c r="J52" s="33"/>
      <c r="K52" s="33"/>
      <c r="L52" s="33"/>
      <c r="M52" s="41"/>
      <c r="N52" s="41"/>
      <c r="O52" s="265"/>
      <c r="P52" s="60"/>
      <c r="Q52" s="35"/>
      <c r="R52" s="221"/>
      <c r="S52" s="102"/>
      <c r="T52" s="221"/>
      <c r="U52" s="226"/>
      <c r="V52" s="221"/>
      <c r="W52" s="225"/>
      <c r="X52" s="221"/>
      <c r="Y52" s="44"/>
      <c r="Z52" s="44"/>
      <c r="AA52" s="44"/>
      <c r="AB52" s="44"/>
      <c r="AC52" s="44"/>
      <c r="AD52" s="44"/>
      <c r="AE52" s="36"/>
      <c r="AF52" s="36"/>
      <c r="AG52" s="36"/>
      <c r="AH52" s="36"/>
      <c r="AI52" s="36"/>
      <c r="AJ52" s="36"/>
      <c r="AK52" s="36"/>
      <c r="AL52" s="36"/>
      <c r="AM52" s="36"/>
      <c r="AN52" s="37"/>
      <c r="AO52" s="37"/>
      <c r="AP52" s="37"/>
      <c r="AQ52" s="37"/>
      <c r="AR52" s="37"/>
      <c r="AS52" s="37"/>
      <c r="AT52" s="37"/>
      <c r="AU52" s="37"/>
      <c r="AV52" s="37"/>
      <c r="AW52" s="37"/>
      <c r="AX52" s="37"/>
      <c r="AY52" s="37"/>
      <c r="AZ52" s="37"/>
      <c r="BA52" s="37"/>
      <c r="BB52" s="37"/>
      <c r="BC52" s="37"/>
      <c r="BD52" s="37"/>
      <c r="BE52" s="37"/>
    </row>
    <row r="53" spans="2:57" s="31" customFormat="1" ht="15.5" x14ac:dyDescent="0.3">
      <c r="B53" s="45" t="s">
        <v>392</v>
      </c>
      <c r="C53" s="159"/>
      <c r="D53" s="84" t="s">
        <v>51</v>
      </c>
      <c r="E53" s="34"/>
      <c r="F53" s="34"/>
      <c r="G53" s="34"/>
      <c r="J53" s="33"/>
      <c r="K53" s="38"/>
      <c r="L53" s="38"/>
      <c r="M53" s="84"/>
      <c r="N53" s="84"/>
      <c r="O53" s="100"/>
      <c r="P53" s="42"/>
      <c r="Q53" s="52"/>
      <c r="R53" s="240"/>
      <c r="S53" s="36"/>
      <c r="T53" s="44"/>
      <c r="U53" s="44"/>
      <c r="V53" s="44"/>
      <c r="W53" s="44"/>
      <c r="X53" s="44"/>
      <c r="Y53" s="44"/>
      <c r="Z53" s="44"/>
      <c r="AA53" s="44"/>
      <c r="AB53" s="44"/>
      <c r="AC53" s="44"/>
      <c r="AD53" s="44"/>
      <c r="AE53" s="36"/>
      <c r="AF53" s="36"/>
      <c r="AG53" s="36"/>
      <c r="AH53" s="36"/>
      <c r="AI53" s="36"/>
      <c r="AJ53" s="36"/>
      <c r="AK53" s="36"/>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5" x14ac:dyDescent="0.3">
      <c r="B54" s="155" t="s">
        <v>391</v>
      </c>
      <c r="K54" s="38" t="s">
        <v>329</v>
      </c>
      <c r="L54" s="38" t="s">
        <v>201</v>
      </c>
      <c r="M54" s="84"/>
      <c r="N54" s="84"/>
      <c r="O54" s="100"/>
      <c r="Q54" s="133"/>
      <c r="R54" s="221" t="s">
        <v>350</v>
      </c>
      <c r="S54" s="108"/>
      <c r="T54" s="44" t="s">
        <v>275</v>
      </c>
      <c r="U54" s="44" t="s">
        <v>351</v>
      </c>
      <c r="V54" s="44" t="s">
        <v>352</v>
      </c>
      <c r="W54" s="44"/>
      <c r="X54" s="225"/>
      <c r="Y54" s="225"/>
      <c r="Z54" s="225"/>
      <c r="AA54" s="225"/>
      <c r="AB54" s="225"/>
      <c r="AC54" s="225"/>
      <c r="AD54" s="225"/>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row>
    <row r="55" spans="2:57" s="31" customFormat="1" ht="15.5" x14ac:dyDescent="0.3">
      <c r="B55" s="54" t="s">
        <v>510</v>
      </c>
      <c r="C55" s="392" t="s">
        <v>128</v>
      </c>
      <c r="D55" s="393"/>
      <c r="E55" s="393"/>
      <c r="F55" s="393"/>
      <c r="G55" s="394"/>
      <c r="J55" s="33" t="s">
        <v>470</v>
      </c>
      <c r="K55" s="112">
        <f>IF(ISNUMBER(L55),L55,IF(OR(C55=Pudotusvalikot!$D$67,C55=Pudotusvalikot!$D$68),"--",VLOOKUP(C55,Kalusto!$C$5:$E$42,3,FALSE)*IF(OR(C56=Pudotusvalikot!$V$3,C56=Pudotusvalikot!$V$4),Muut!$E$38,IF(C56=Pudotusvalikot!$V$5,Muut!$E$39,IF(C56=Pudotusvalikot!$V$6,Muut!$E$40,Muut!$E$41)))))</f>
        <v>34.130000000000003</v>
      </c>
      <c r="L55" s="40"/>
      <c r="M55" s="41" t="s">
        <v>205</v>
      </c>
      <c r="N55" s="41"/>
      <c r="O55" s="265"/>
      <c r="P55" s="60"/>
      <c r="Q55" s="35"/>
      <c r="R55" s="218" t="str">
        <f>IF(ISNUMBER(K55*V55),K55*V55,"")</f>
        <v/>
      </c>
      <c r="S55" s="102" t="s">
        <v>172</v>
      </c>
      <c r="T55" s="218" t="str">
        <f>IF(ISNUMBER(C57),C57,"")</f>
        <v/>
      </c>
      <c r="U55" s="224" t="str">
        <f>IF(D57="h","",IF(ISNUMBER(C57),C57,""))</f>
        <v/>
      </c>
      <c r="V55" s="218" t="str">
        <f>IF(ISNUMBER(T55),IF(D57="h",C57,IF(ISNUMBER(T55*U55),IF(D57="m3/h",T55/U55,T55*U55),"")),"")</f>
        <v/>
      </c>
      <c r="W55" s="225"/>
      <c r="X55" s="221"/>
      <c r="Y55" s="44"/>
      <c r="Z55" s="44"/>
      <c r="AA55" s="44"/>
      <c r="AB55" s="44"/>
      <c r="AC55" s="44"/>
      <c r="AD55" s="44"/>
      <c r="AE55" s="36"/>
      <c r="AF55" s="36"/>
      <c r="AG55" s="36"/>
      <c r="AH55" s="36"/>
      <c r="AI55" s="36"/>
      <c r="AJ55" s="36"/>
      <c r="AK55" s="36"/>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15.5" x14ac:dyDescent="0.3">
      <c r="B56" s="170" t="s">
        <v>509</v>
      </c>
      <c r="C56" s="160" t="s">
        <v>242</v>
      </c>
      <c r="D56" s="34"/>
      <c r="E56" s="34"/>
      <c r="F56" s="34"/>
      <c r="G56" s="34"/>
      <c r="J56" s="33"/>
      <c r="K56" s="33"/>
      <c r="L56" s="33"/>
      <c r="M56" s="41"/>
      <c r="N56" s="41"/>
      <c r="O56" s="265"/>
      <c r="P56" s="60"/>
      <c r="Q56" s="35"/>
      <c r="R56" s="221"/>
      <c r="S56" s="102"/>
      <c r="T56" s="221"/>
      <c r="U56" s="226"/>
      <c r="V56" s="221"/>
      <c r="W56" s="225"/>
      <c r="X56" s="221"/>
      <c r="Y56" s="44"/>
      <c r="Z56" s="44"/>
      <c r="AA56" s="44"/>
      <c r="AB56" s="44"/>
      <c r="AC56" s="44"/>
      <c r="AD56" s="44"/>
      <c r="AE56" s="36"/>
      <c r="AF56" s="36"/>
      <c r="AG56" s="36"/>
      <c r="AH56" s="36"/>
      <c r="AI56" s="36"/>
      <c r="AJ56" s="36"/>
      <c r="AK56" s="36"/>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15.5" x14ac:dyDescent="0.3">
      <c r="B57" s="45" t="s">
        <v>392</v>
      </c>
      <c r="C57" s="159"/>
      <c r="D57" s="84" t="s">
        <v>51</v>
      </c>
      <c r="E57" s="34"/>
      <c r="F57" s="34"/>
      <c r="G57" s="34"/>
      <c r="H57" s="84"/>
      <c r="J57" s="33"/>
      <c r="K57" s="34"/>
      <c r="L57" s="34"/>
      <c r="M57" s="84"/>
      <c r="N57" s="84"/>
      <c r="O57" s="100"/>
      <c r="P57" s="42"/>
      <c r="Q57" s="52"/>
      <c r="R57" s="240"/>
      <c r="S57" s="36"/>
      <c r="T57" s="44"/>
      <c r="U57" s="44"/>
      <c r="V57" s="44"/>
      <c r="W57" s="44"/>
      <c r="X57" s="44"/>
      <c r="Y57" s="44"/>
      <c r="Z57" s="44"/>
      <c r="AA57" s="44"/>
      <c r="AB57" s="44"/>
      <c r="AC57" s="44"/>
      <c r="AD57" s="44"/>
      <c r="AE57" s="36"/>
      <c r="AF57" s="36"/>
      <c r="AG57" s="36"/>
      <c r="AH57" s="36"/>
      <c r="AI57" s="36"/>
      <c r="AJ57" s="36"/>
      <c r="AK57" s="36"/>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5" x14ac:dyDescent="0.3">
      <c r="C58" s="80"/>
      <c r="D58" s="84"/>
      <c r="G58" s="34"/>
      <c r="H58" s="84"/>
      <c r="J58" s="33"/>
      <c r="K58" s="34"/>
      <c r="L58" s="34"/>
      <c r="M58" s="84"/>
      <c r="N58" s="84"/>
      <c r="O58" s="84"/>
      <c r="Q58" s="35"/>
      <c r="R58" s="240"/>
      <c r="S58" s="36"/>
      <c r="T58" s="44"/>
      <c r="U58" s="44"/>
      <c r="V58" s="44"/>
      <c r="W58" s="44"/>
      <c r="X58" s="44"/>
      <c r="Y58" s="44"/>
      <c r="Z58" s="44"/>
      <c r="AA58" s="44"/>
      <c r="AB58" s="44"/>
      <c r="AC58" s="44"/>
      <c r="AD58" s="44"/>
      <c r="AE58" s="36"/>
      <c r="AF58" s="36"/>
      <c r="AG58" s="36"/>
      <c r="AH58" s="36"/>
      <c r="AI58" s="36"/>
      <c r="AJ58" s="36"/>
      <c r="AK58" s="36"/>
      <c r="AL58" s="36"/>
      <c r="AM58" s="36"/>
      <c r="AN58" s="37"/>
      <c r="AO58" s="37"/>
      <c r="AP58" s="37"/>
      <c r="AQ58" s="37"/>
      <c r="AR58" s="37"/>
      <c r="AS58" s="37"/>
      <c r="AT58" s="37"/>
      <c r="AU58" s="37"/>
      <c r="AV58" s="37"/>
      <c r="AW58" s="37"/>
      <c r="AX58" s="37"/>
      <c r="AY58" s="37"/>
      <c r="AZ58" s="37"/>
      <c r="BA58" s="37"/>
      <c r="BB58" s="37"/>
      <c r="BC58" s="37"/>
      <c r="BD58" s="37"/>
      <c r="BE58" s="37"/>
    </row>
    <row r="59" spans="2:57" s="298" customFormat="1" ht="18" x14ac:dyDescent="0.3">
      <c r="B59" s="295" t="s">
        <v>591</v>
      </c>
      <c r="C59" s="296"/>
      <c r="D59" s="297"/>
      <c r="G59" s="296"/>
      <c r="H59" s="297"/>
      <c r="K59" s="296"/>
      <c r="L59" s="296"/>
      <c r="M59" s="297"/>
      <c r="N59" s="297"/>
      <c r="O59" s="300"/>
      <c r="P59" s="320"/>
      <c r="Q59" s="304"/>
      <c r="S59" s="303"/>
      <c r="T59" s="303"/>
      <c r="U59" s="303"/>
      <c r="V59" s="303"/>
      <c r="W59" s="303"/>
      <c r="X59" s="303"/>
      <c r="Y59" s="303"/>
      <c r="Z59" s="303"/>
      <c r="AA59" s="303"/>
      <c r="AB59" s="303"/>
      <c r="AC59" s="303"/>
      <c r="AD59" s="303"/>
      <c r="AE59" s="303"/>
      <c r="AF59" s="303"/>
      <c r="AG59" s="303"/>
      <c r="AH59" s="303"/>
      <c r="AI59" s="303"/>
      <c r="AJ59" s="303"/>
      <c r="AK59" s="303"/>
      <c r="AL59" s="303"/>
      <c r="AM59" s="303"/>
      <c r="AN59" s="304"/>
      <c r="AO59" s="304"/>
      <c r="AP59" s="304"/>
      <c r="AQ59" s="304"/>
      <c r="AR59" s="304"/>
      <c r="AS59" s="304"/>
      <c r="AT59" s="304"/>
      <c r="AU59" s="304"/>
      <c r="AV59" s="304"/>
      <c r="AW59" s="304"/>
      <c r="AX59" s="304"/>
      <c r="AY59" s="304"/>
      <c r="AZ59" s="304"/>
      <c r="BA59" s="304"/>
      <c r="BB59" s="304"/>
      <c r="BC59" s="304"/>
      <c r="BD59" s="304"/>
      <c r="BE59" s="304"/>
    </row>
    <row r="60" spans="2:57" s="31" customFormat="1" ht="15.5" x14ac:dyDescent="0.3">
      <c r="B60" s="9"/>
      <c r="C60" s="34"/>
      <c r="D60" s="84"/>
      <c r="E60" s="34"/>
      <c r="F60" s="34"/>
      <c r="G60" s="38"/>
      <c r="H60" s="84"/>
      <c r="J60" s="33"/>
      <c r="K60" s="38"/>
      <c r="L60" s="38"/>
      <c r="M60" s="86"/>
      <c r="N60" s="86"/>
      <c r="O60" s="86"/>
      <c r="P60" s="38"/>
      <c r="Q60" s="35"/>
      <c r="R60" s="106"/>
      <c r="S60" s="36"/>
      <c r="T60" s="44"/>
      <c r="U60" s="44"/>
      <c r="V60" s="44"/>
      <c r="W60" s="44"/>
      <c r="X60" s="44"/>
      <c r="Y60" s="44"/>
      <c r="Z60" s="44"/>
      <c r="AA60" s="44"/>
      <c r="AB60" s="44"/>
      <c r="AC60" s="44"/>
      <c r="AD60" s="44"/>
      <c r="AE60" s="44"/>
      <c r="AF60" s="44"/>
      <c r="AG60" s="44"/>
      <c r="AH60" s="44"/>
      <c r="AI60" s="36"/>
      <c r="AJ60" s="36"/>
      <c r="AK60" s="36"/>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15.5" x14ac:dyDescent="0.3">
      <c r="B61" s="155" t="s">
        <v>457</v>
      </c>
      <c r="C61" s="34" t="s">
        <v>50</v>
      </c>
      <c r="D61" s="84"/>
      <c r="E61" s="34"/>
      <c r="F61" s="34"/>
      <c r="G61" s="38" t="s">
        <v>199</v>
      </c>
      <c r="H61" s="84"/>
      <c r="J61" s="33"/>
      <c r="K61" s="38" t="s">
        <v>329</v>
      </c>
      <c r="L61" s="38" t="s">
        <v>201</v>
      </c>
      <c r="M61" s="86"/>
      <c r="N61" s="86"/>
      <c r="O61" s="255" t="s">
        <v>644</v>
      </c>
      <c r="P61" s="38"/>
      <c r="Q61" s="35"/>
      <c r="R61" s="221" t="s">
        <v>350</v>
      </c>
      <c r="S61" s="36"/>
      <c r="T61" s="44" t="s">
        <v>446</v>
      </c>
      <c r="U61" s="44" t="s">
        <v>445</v>
      </c>
      <c r="V61" s="44" t="s">
        <v>443</v>
      </c>
      <c r="W61" s="44" t="s">
        <v>444</v>
      </c>
      <c r="X61" s="44" t="s">
        <v>447</v>
      </c>
      <c r="Y61" s="44" t="s">
        <v>449</v>
      </c>
      <c r="Z61" s="44" t="s">
        <v>448</v>
      </c>
      <c r="AA61" s="44" t="s">
        <v>202</v>
      </c>
      <c r="AB61" s="44" t="s">
        <v>380</v>
      </c>
      <c r="AC61" s="44" t="s">
        <v>450</v>
      </c>
      <c r="AD61" s="44" t="s">
        <v>381</v>
      </c>
      <c r="AE61" s="44" t="s">
        <v>451</v>
      </c>
      <c r="AF61" s="44" t="s">
        <v>452</v>
      </c>
      <c r="AG61" s="44" t="s">
        <v>638</v>
      </c>
      <c r="AH61" s="36" t="s">
        <v>206</v>
      </c>
      <c r="AI61" s="36" t="s">
        <v>278</v>
      </c>
      <c r="AJ61" s="36" t="s">
        <v>207</v>
      </c>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46.5" x14ac:dyDescent="0.3">
      <c r="B62" s="170" t="s">
        <v>513</v>
      </c>
      <c r="C62" s="160"/>
      <c r="D62" s="89" t="s">
        <v>175</v>
      </c>
      <c r="E62" s="176"/>
      <c r="F62" s="34"/>
      <c r="G62" s="161">
        <v>2</v>
      </c>
      <c r="H62" s="84" t="str">
        <f>IF(D62="t","t/t","t/m3")</f>
        <v>t/m3</v>
      </c>
      <c r="I62" s="170"/>
      <c r="J62" s="173" t="s">
        <v>441</v>
      </c>
      <c r="K62" s="96">
        <f>IF(ISNUMBER(L62),L62,IF(OR(C63=Pudotusvalikot!$D$14,C63=Pudotusvalikot!$D$15),Kalusto!$G$96,VLOOKUP(C63,Kalusto!$C$44:$G$83,5,FALSE))*IF(OR(C64=Pudotusvalikot!$V$3,C64=Pudotusvalikot!$V$4),Muut!$E$38,IF(C64=Pudotusvalikot!$V$5,Muut!$E$39,IF(C64=Pudotusvalikot!$V$6,Muut!$E$40,Muut!$E$41))))</f>
        <v>6.1090000000000005E-2</v>
      </c>
      <c r="L62" s="40"/>
      <c r="M62" s="41" t="s">
        <v>200</v>
      </c>
      <c r="N62" s="41"/>
      <c r="O62" s="256"/>
      <c r="Q62" s="47"/>
      <c r="R62" s="218" t="str">
        <f ca="1">IF(AND(NOT(ISNUMBER(AB62)),NOT(ISNUMBER(AG62))),"",IF(ISNUMBER(AB62),AB62,0)+IF(ISNUMBER(AG62),AG62,0))</f>
        <v/>
      </c>
      <c r="S62" s="102" t="s">
        <v>172</v>
      </c>
      <c r="T62" s="216" t="str">
        <f>IF(ISNUMBER(L62),"Kohdetieto",IF(OR(C63=Pudotusvalikot!$D$14,C63=Pudotusvalikot!$D$15),Kalusto!$I$96,VLOOKUP(C63,Kalusto!$C$44:$L$83,7,FALSE)))</f>
        <v>Maansiirtoauto</v>
      </c>
      <c r="U62" s="216">
        <f>IF(ISNUMBER(L62),"Kohdetieto",IF(OR(C63=Pudotusvalikot!$D$14,C63=Pudotusvalikot!$D$15),Kalusto!$J$96,VLOOKUP(C63,Kalusto!$C$44:$L$83,8,FALSE)))</f>
        <v>32</v>
      </c>
      <c r="V62" s="217">
        <f>IF(ISNUMBER(L62),"Kohdetieto",IF(OR(C63=Pudotusvalikot!$D$14,C63=Pudotusvalikot!$D$15),Kalusto!$K$96,VLOOKUP(C63,Kalusto!$C$44:$L$83,9,FALSE)))</f>
        <v>0.8</v>
      </c>
      <c r="W62" s="217" t="str">
        <f>IF(ISNUMBER(L62),"Kohdetieto",IF(OR(C63=Pudotusvalikot!$D$14,C63=Pudotusvalikot!$D$15),Kalusto!$L$96,VLOOKUP(C63,Kalusto!$C$44:$L$83,10,FALSE)))</f>
        <v>maantieajo</v>
      </c>
      <c r="X62" s="218" t="str">
        <f>IF(ISBLANK(C62),"",IF(D62="t",C62,C62*G62))</f>
        <v/>
      </c>
      <c r="Y62" s="216" t="str">
        <f>IF(ISNUMBER(C65),C65,"")</f>
        <v/>
      </c>
      <c r="Z62" s="218" t="str">
        <f>IF(ISNUMBER(X62/(U62*V62)*Y62),X62/(U62*V62)*Y62,"")</f>
        <v/>
      </c>
      <c r="AA62" s="219">
        <f>IF(ISNUMBER(L62),L62,K62)</f>
        <v>6.1090000000000005E-2</v>
      </c>
      <c r="AB62" s="218" t="str">
        <f>IF(ISNUMBER(Y62*X62*K62),Y62*X62*K62,"")</f>
        <v/>
      </c>
      <c r="AC62" s="218" t="str">
        <f>IF(C87="Kyllä",Y62,"")</f>
        <v/>
      </c>
      <c r="AD62" s="218" t="str">
        <f>IF(C87="Kyllä",IF(ISNUMBER(X62/(U62*V62)),X62/(U62*V62),""),"")</f>
        <v/>
      </c>
      <c r="AE62" s="50" t="str">
        <f>IF(ISNUMBER(AD62*AC62),AD62*AC62,"")</f>
        <v/>
      </c>
      <c r="AF62" s="51">
        <f ca="1">IF(ISNUMBER(L63),L63,K63)</f>
        <v>0.71940999999999999</v>
      </c>
      <c r="AG62" s="50" t="str">
        <f ca="1">IF(ISNUMBER(AC62*AD62*K63),AC62*AD62*K63,"")</f>
        <v/>
      </c>
      <c r="AH62" s="48">
        <f>IF(T62="Jakelukuorma-auto",0,IF(T62="Maansiirtoauto",4,IF(T62="Puoliperävaunu",6,8)))</f>
        <v>4</v>
      </c>
      <c r="AI62" s="48">
        <f>IF(AND(T62="Jakelukuorma-auto",U62=6),0,IF(AND(T62="Jakelukuorma-auto",U62=15),2,0))</f>
        <v>0</v>
      </c>
      <c r="AJ62" s="48">
        <f>IF(W62="maantieajo",0,1)</f>
        <v>0</v>
      </c>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46.5" x14ac:dyDescent="0.3">
      <c r="B63" s="170" t="s">
        <v>512</v>
      </c>
      <c r="C63" s="392" t="s">
        <v>84</v>
      </c>
      <c r="D63" s="393"/>
      <c r="E63" s="393"/>
      <c r="F63" s="393"/>
      <c r="G63" s="394"/>
      <c r="H63" s="54"/>
      <c r="J63" s="33" t="s">
        <v>442</v>
      </c>
      <c r="K63" s="96">
        <f ca="1">IF(ISNUMBER(L63),L63,IF($C$102="Ei","",IF(AND($C$102="Kyllä",OR(C63=Pudotusvalikot!$D$14,C63=Pudotusvalikot!$D$15)),Kalusto!$G$97,OFFSET(Kalusto!$G$85,AH62+AJ62+AI62,0,1,1)))*IF(OR(C64=Pudotusvalikot!$V$3,C64=Pudotusvalikot!$V$4),Muut!$E$38,IF(C64=Pudotusvalikot!$V$5,Muut!$E$39,IF(C64=Pudotusvalikot!$V$6,Muut!$E$40,Muut!$E$41))))</f>
        <v>0.71940999999999999</v>
      </c>
      <c r="L63" s="40"/>
      <c r="M63" s="41" t="s">
        <v>204</v>
      </c>
      <c r="N63" s="41"/>
      <c r="O63" s="265"/>
      <c r="P63" s="34"/>
      <c r="Q63" s="52"/>
      <c r="R63" s="44"/>
      <c r="S63" s="36"/>
      <c r="T63" s="44"/>
      <c r="U63" s="44"/>
      <c r="V63" s="44"/>
      <c r="W63" s="44"/>
      <c r="X63" s="44"/>
      <c r="Y63" s="44"/>
      <c r="Z63" s="44"/>
      <c r="AA63" s="44"/>
      <c r="AB63" s="44"/>
      <c r="AC63" s="44"/>
      <c r="AD63" s="44"/>
      <c r="AE63" s="36"/>
      <c r="AF63" s="36"/>
      <c r="AG63" s="36"/>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5" x14ac:dyDescent="0.3">
      <c r="B64" s="186" t="s">
        <v>506</v>
      </c>
      <c r="C64" s="160" t="s">
        <v>242</v>
      </c>
      <c r="D64" s="34"/>
      <c r="E64" s="34"/>
      <c r="F64" s="34"/>
      <c r="G64" s="34"/>
      <c r="H64" s="59"/>
      <c r="J64" s="173"/>
      <c r="K64" s="173"/>
      <c r="L64" s="173"/>
      <c r="M64" s="41"/>
      <c r="N64" s="41"/>
      <c r="O64" s="265"/>
      <c r="Q64" s="47"/>
      <c r="R64" s="232"/>
      <c r="S64" s="102"/>
      <c r="T64" s="44"/>
      <c r="U64" s="44"/>
      <c r="V64" s="220"/>
      <c r="W64" s="220"/>
      <c r="X64" s="221"/>
      <c r="Y64" s="44"/>
      <c r="Z64" s="221"/>
      <c r="AA64" s="222"/>
      <c r="AB64" s="221"/>
      <c r="AC64" s="221"/>
      <c r="AD64" s="221"/>
      <c r="AE64" s="61"/>
      <c r="AF64" s="182"/>
      <c r="AG64" s="61"/>
      <c r="AH64" s="36"/>
      <c r="AI64" s="36"/>
      <c r="AJ64" s="36"/>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15.5" x14ac:dyDescent="0.3">
      <c r="B65" s="45" t="s">
        <v>514</v>
      </c>
      <c r="C65" s="160"/>
      <c r="D65" s="84" t="s">
        <v>5</v>
      </c>
      <c r="G65" s="34"/>
      <c r="H65" s="54"/>
      <c r="J65" s="53"/>
      <c r="K65" s="34"/>
      <c r="L65" s="34"/>
      <c r="M65" s="84"/>
      <c r="N65" s="84"/>
      <c r="O65" s="100"/>
      <c r="P65" s="53"/>
      <c r="Q65" s="52"/>
      <c r="R65" s="44"/>
      <c r="S65" s="36"/>
      <c r="T65" s="44"/>
      <c r="U65" s="44"/>
      <c r="V65" s="44"/>
      <c r="W65" s="44"/>
      <c r="X65" s="44"/>
      <c r="Y65" s="44"/>
      <c r="Z65" s="44"/>
      <c r="AA65" s="44"/>
      <c r="AB65" s="44"/>
      <c r="AC65" s="44"/>
      <c r="AD65" s="44"/>
      <c r="AE65" s="36"/>
      <c r="AF65" s="36"/>
      <c r="AG65" s="36"/>
      <c r="AH65" s="36"/>
      <c r="AI65" s="36"/>
      <c r="AJ65" s="36"/>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15.5" x14ac:dyDescent="0.3">
      <c r="B66" s="155" t="s">
        <v>458</v>
      </c>
      <c r="C66" s="34"/>
      <c r="D66" s="84"/>
      <c r="G66" s="34"/>
      <c r="H66" s="84"/>
      <c r="J66" s="33"/>
      <c r="K66" s="38" t="s">
        <v>329</v>
      </c>
      <c r="L66" s="38" t="s">
        <v>201</v>
      </c>
      <c r="M66" s="84"/>
      <c r="N66" s="84"/>
      <c r="O66" s="100"/>
      <c r="P66" s="34"/>
      <c r="Q66" s="35"/>
      <c r="R66" s="221" t="s">
        <v>350</v>
      </c>
      <c r="S66" s="36"/>
      <c r="T66" s="44" t="s">
        <v>446</v>
      </c>
      <c r="U66" s="44" t="s">
        <v>445</v>
      </c>
      <c r="V66" s="44" t="s">
        <v>443</v>
      </c>
      <c r="W66" s="44" t="s">
        <v>444</v>
      </c>
      <c r="X66" s="44" t="s">
        <v>447</v>
      </c>
      <c r="Y66" s="44" t="s">
        <v>449</v>
      </c>
      <c r="Z66" s="44" t="s">
        <v>448</v>
      </c>
      <c r="AA66" s="44" t="s">
        <v>202</v>
      </c>
      <c r="AB66" s="44" t="s">
        <v>380</v>
      </c>
      <c r="AC66" s="44" t="s">
        <v>450</v>
      </c>
      <c r="AD66" s="44" t="s">
        <v>381</v>
      </c>
      <c r="AE66" s="44" t="s">
        <v>451</v>
      </c>
      <c r="AF66" s="44" t="s">
        <v>452</v>
      </c>
      <c r="AG66" s="44" t="s">
        <v>638</v>
      </c>
      <c r="AH66" s="36" t="s">
        <v>206</v>
      </c>
      <c r="AI66" s="36" t="s">
        <v>278</v>
      </c>
      <c r="AJ66" s="36" t="s">
        <v>207</v>
      </c>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46.5" x14ac:dyDescent="0.3">
      <c r="B67" s="170" t="s">
        <v>513</v>
      </c>
      <c r="C67" s="161"/>
      <c r="D67" s="89" t="s">
        <v>175</v>
      </c>
      <c r="E67" s="176"/>
      <c r="F67" s="34"/>
      <c r="G67" s="161">
        <v>2</v>
      </c>
      <c r="H67" s="84" t="str">
        <f>IF(D67="t","t/t","t/m3")</f>
        <v>t/m3</v>
      </c>
      <c r="J67" s="173" t="s">
        <v>441</v>
      </c>
      <c r="K67" s="96">
        <f>IF(ISNUMBER(L67),L67,IF(OR(C68=Pudotusvalikot!$D$14,C68=Pudotusvalikot!$D$15),Kalusto!$G$96,VLOOKUP(C68,Kalusto!$C$44:$G$83,5,FALSE))*IF(OR(C69=Pudotusvalikot!$V$3,C69=Pudotusvalikot!$V$4),Muut!$E$38,IF(C69=Pudotusvalikot!$V$5,Muut!$E$39,IF(C64=Pudotusvalikot!$V$6,Muut!$E$40,Muut!$E$41))))</f>
        <v>6.1090000000000005E-2</v>
      </c>
      <c r="L67" s="40"/>
      <c r="M67" s="41" t="s">
        <v>200</v>
      </c>
      <c r="N67" s="41"/>
      <c r="O67" s="265"/>
      <c r="Q67" s="47"/>
      <c r="R67" s="218" t="str">
        <f ca="1">IF(AND(NOT(ISNUMBER(AB67)),NOT(ISNUMBER(AG67))),"",IF(ISNUMBER(AB67),AB67,0)+IF(ISNUMBER(AG67),AG67,0))</f>
        <v/>
      </c>
      <c r="S67" s="102" t="s">
        <v>172</v>
      </c>
      <c r="T67" s="216" t="str">
        <f>IF(ISNUMBER(L67),"Kohdetieto",IF(OR(C68=Pudotusvalikot!$D$14,C68=Pudotusvalikot!$D$15),Kalusto!$I$96,VLOOKUP(C68,Kalusto!$C$44:$L$83,7,FALSE)))</f>
        <v>Maansiirtoauto</v>
      </c>
      <c r="U67" s="216">
        <f>IF(ISNUMBER(L67),"Kohdetieto",IF(OR(C68=Pudotusvalikot!$D$14,C68=Pudotusvalikot!$D$15),Kalusto!$J$96,VLOOKUP(C68,Kalusto!$C$44:$L$83,8,FALSE)))</f>
        <v>32</v>
      </c>
      <c r="V67" s="217">
        <f>IF(ISNUMBER(L67),"Kohdetieto",IF(OR(C68=Pudotusvalikot!$D$14,C68=Pudotusvalikot!$D$15),Kalusto!$K$96,VLOOKUP(C68,Kalusto!$C$44:$L$83,9,FALSE)))</f>
        <v>0.8</v>
      </c>
      <c r="W67" s="217" t="str">
        <f>IF(ISNUMBER(L67),"Kohdetieto",IF(OR(C68=Pudotusvalikot!$D$14,C68=Pudotusvalikot!$D$15),Kalusto!$L$96,VLOOKUP(C68,Kalusto!$C$44:$L$83,10,FALSE)))</f>
        <v>maantieajo</v>
      </c>
      <c r="X67" s="218" t="str">
        <f>IF(ISBLANK(C67),"",IF(D67="t",C67,C67*G67))</f>
        <v/>
      </c>
      <c r="Y67" s="216" t="str">
        <f>IF(ISNUMBER(C70),C70,"")</f>
        <v/>
      </c>
      <c r="Z67" s="218" t="str">
        <f>IF(ISNUMBER(X67/(U67*V67)*Y67),X67/(U67*V67)*Y67,"")</f>
        <v/>
      </c>
      <c r="AA67" s="219">
        <f>IF(ISNUMBER(L67),L67,K67)</f>
        <v>6.1090000000000005E-2</v>
      </c>
      <c r="AB67" s="218" t="str">
        <f>IF(ISNUMBER(Y67*X67*K67),Y67*X67*K67,"")</f>
        <v/>
      </c>
      <c r="AC67" s="218" t="str">
        <f>IF(C87="Kyllä",Y67,"")</f>
        <v/>
      </c>
      <c r="AD67" s="218" t="str">
        <f>IF(C87="Kyllä",IF(ISNUMBER(X67/(U67*V67)),X67/(U67*V67),""),"")</f>
        <v/>
      </c>
      <c r="AE67" s="50" t="str">
        <f>IF(ISNUMBER(AD67*AC67),AD67*AC67,"")</f>
        <v/>
      </c>
      <c r="AF67" s="51">
        <f ca="1">IF(ISNUMBER(L68),L68,K68)</f>
        <v>0.71940999999999999</v>
      </c>
      <c r="AG67" s="50" t="str">
        <f ca="1">IF(ISNUMBER(AC67*AD67*K68),AC67*AD67*K68,"")</f>
        <v/>
      </c>
      <c r="AH67" s="48">
        <f>IF(T67="Jakelukuorma-auto",0,IF(T67="Maansiirtoauto",4,IF(T67="Puoliperävaunu",6,8)))</f>
        <v>4</v>
      </c>
      <c r="AI67" s="48">
        <f>IF(AND(T67="Jakelukuorma-auto",U67=6),0,IF(AND(T67="Jakelukuorma-auto",U67=15),2,0))</f>
        <v>0</v>
      </c>
      <c r="AJ67" s="48">
        <f>IF(W67="maantieajo",0,1)</f>
        <v>0</v>
      </c>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46.5" x14ac:dyDescent="0.3">
      <c r="B68" s="170" t="s">
        <v>512</v>
      </c>
      <c r="C68" s="392" t="s">
        <v>84</v>
      </c>
      <c r="D68" s="393"/>
      <c r="E68" s="393"/>
      <c r="F68" s="393"/>
      <c r="G68" s="394"/>
      <c r="H68" s="84"/>
      <c r="J68" s="33" t="s">
        <v>442</v>
      </c>
      <c r="K68" s="96">
        <f ca="1">IF(ISNUMBER(L68),L68,IF($C$102="Ei","",IF(AND($C$102="Kyllä",OR(C68=Pudotusvalikot!$D$14,C68=Pudotusvalikot!$D$15)),Kalusto!$G$97,OFFSET(Kalusto!$G$85,AH67+AJ67+AI67,0,1,1)))*IF(OR(C69=Pudotusvalikot!$V$3,C69=Pudotusvalikot!$V$4),Muut!$E$38,IF(C69=Pudotusvalikot!$V$5,Muut!$E$39,IF(C64=Pudotusvalikot!$V$6,Muut!$E$40,Muut!$E$41))))</f>
        <v>0.71940999999999999</v>
      </c>
      <c r="L68" s="40"/>
      <c r="M68" s="41" t="s">
        <v>204</v>
      </c>
      <c r="N68" s="41"/>
      <c r="O68" s="265"/>
      <c r="P68" s="34"/>
      <c r="Q68" s="52"/>
      <c r="R68" s="44"/>
      <c r="S68" s="36"/>
      <c r="T68" s="44"/>
      <c r="U68" s="44"/>
      <c r="V68" s="44"/>
      <c r="W68" s="44"/>
      <c r="X68" s="44"/>
      <c r="Y68" s="44"/>
      <c r="Z68" s="44"/>
      <c r="AA68" s="44"/>
      <c r="AB68" s="44"/>
      <c r="AC68" s="44"/>
      <c r="AD68" s="44"/>
      <c r="AE68" s="36"/>
      <c r="AF68" s="36"/>
      <c r="AG68" s="36"/>
      <c r="AH68" s="36"/>
      <c r="AI68" s="36"/>
      <c r="AJ68" s="36"/>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5" x14ac:dyDescent="0.3">
      <c r="B69" s="186" t="s">
        <v>506</v>
      </c>
      <c r="C69" s="160" t="s">
        <v>242</v>
      </c>
      <c r="D69" s="34"/>
      <c r="E69" s="34"/>
      <c r="F69" s="34"/>
      <c r="G69" s="34"/>
      <c r="H69" s="59"/>
      <c r="J69" s="173"/>
      <c r="K69" s="173"/>
      <c r="L69" s="173"/>
      <c r="M69" s="41"/>
      <c r="N69" s="41"/>
      <c r="O69" s="265"/>
      <c r="Q69" s="47"/>
      <c r="R69" s="232"/>
      <c r="S69" s="102"/>
      <c r="T69" s="44"/>
      <c r="U69" s="44"/>
      <c r="V69" s="220"/>
      <c r="W69" s="220"/>
      <c r="X69" s="221"/>
      <c r="Y69" s="44"/>
      <c r="Z69" s="221"/>
      <c r="AA69" s="222"/>
      <c r="AB69" s="221"/>
      <c r="AC69" s="221"/>
      <c r="AD69" s="221"/>
      <c r="AE69" s="61"/>
      <c r="AF69" s="182"/>
      <c r="AG69" s="61"/>
      <c r="AH69" s="36"/>
      <c r="AI69" s="36"/>
      <c r="AJ69" s="36"/>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15.5" x14ac:dyDescent="0.3">
      <c r="B70" s="45" t="s">
        <v>514</v>
      </c>
      <c r="C70" s="162"/>
      <c r="D70" s="84" t="s">
        <v>5</v>
      </c>
      <c r="G70" s="34"/>
      <c r="H70" s="84"/>
      <c r="J70" s="53"/>
      <c r="K70" s="34"/>
      <c r="L70" s="34"/>
      <c r="M70" s="84"/>
      <c r="N70" s="84"/>
      <c r="O70" s="100"/>
      <c r="P70" s="53"/>
      <c r="Q70" s="52"/>
      <c r="R70" s="44"/>
      <c r="S70" s="36"/>
      <c r="T70" s="44"/>
      <c r="U70" s="44"/>
      <c r="V70" s="44"/>
      <c r="W70" s="44"/>
      <c r="X70" s="44"/>
      <c r="Y70" s="44"/>
      <c r="Z70" s="44"/>
      <c r="AA70" s="44"/>
      <c r="AB70" s="44"/>
      <c r="AC70" s="44"/>
      <c r="AD70" s="44"/>
      <c r="AE70" s="36"/>
      <c r="AF70" s="36"/>
      <c r="AG70" s="36"/>
      <c r="AH70" s="36"/>
      <c r="AI70" s="36"/>
      <c r="AJ70" s="36"/>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15.5" x14ac:dyDescent="0.3">
      <c r="B71" s="155" t="s">
        <v>459</v>
      </c>
      <c r="C71" s="34"/>
      <c r="D71" s="84"/>
      <c r="G71" s="34"/>
      <c r="H71" s="84"/>
      <c r="J71" s="33"/>
      <c r="K71" s="38" t="s">
        <v>329</v>
      </c>
      <c r="L71" s="38" t="s">
        <v>201</v>
      </c>
      <c r="M71" s="84"/>
      <c r="N71" s="84"/>
      <c r="O71" s="100"/>
      <c r="P71" s="34"/>
      <c r="Q71" s="35"/>
      <c r="R71" s="221" t="s">
        <v>350</v>
      </c>
      <c r="S71" s="36"/>
      <c r="T71" s="44" t="s">
        <v>446</v>
      </c>
      <c r="U71" s="44" t="s">
        <v>445</v>
      </c>
      <c r="V71" s="44" t="s">
        <v>443</v>
      </c>
      <c r="W71" s="44" t="s">
        <v>444</v>
      </c>
      <c r="X71" s="44" t="s">
        <v>447</v>
      </c>
      <c r="Y71" s="44" t="s">
        <v>449</v>
      </c>
      <c r="Z71" s="44" t="s">
        <v>448</v>
      </c>
      <c r="AA71" s="44" t="s">
        <v>202</v>
      </c>
      <c r="AB71" s="44" t="s">
        <v>380</v>
      </c>
      <c r="AC71" s="44" t="s">
        <v>450</v>
      </c>
      <c r="AD71" s="44" t="s">
        <v>381</v>
      </c>
      <c r="AE71" s="44" t="s">
        <v>451</v>
      </c>
      <c r="AF71" s="44" t="s">
        <v>452</v>
      </c>
      <c r="AG71" s="44" t="s">
        <v>638</v>
      </c>
      <c r="AH71" s="36" t="s">
        <v>206</v>
      </c>
      <c r="AI71" s="36" t="s">
        <v>278</v>
      </c>
      <c r="AJ71" s="36" t="s">
        <v>207</v>
      </c>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46.5" x14ac:dyDescent="0.3">
      <c r="B72" s="170" t="s">
        <v>513</v>
      </c>
      <c r="C72" s="161"/>
      <c r="D72" s="89" t="s">
        <v>175</v>
      </c>
      <c r="E72" s="176"/>
      <c r="F72" s="34"/>
      <c r="G72" s="161">
        <v>2</v>
      </c>
      <c r="H72" s="84" t="str">
        <f>IF(D72="t","t/t","t/m3")</f>
        <v>t/m3</v>
      </c>
      <c r="J72" s="173" t="s">
        <v>441</v>
      </c>
      <c r="K72" s="96">
        <f>IF(ISNUMBER(L72),L72,IF(OR(C73=Pudotusvalikot!$D$14,C73=Pudotusvalikot!$D$15),Kalusto!$G$96,VLOOKUP(C73,Kalusto!$C$44:$G$83,5,FALSE))*IF(OR(C74=Pudotusvalikot!$V$3,C74=Pudotusvalikot!$V$4),Muut!$E$38,IF(C74=Pudotusvalikot!$V$5,Muut!$E$39,IF(C74=Pudotusvalikot!$V$6,Muut!$E$40,Muut!$E$41))))</f>
        <v>6.1090000000000005E-2</v>
      </c>
      <c r="L72" s="40"/>
      <c r="M72" s="41" t="s">
        <v>200</v>
      </c>
      <c r="N72" s="41"/>
      <c r="O72" s="265"/>
      <c r="Q72" s="47"/>
      <c r="R72" s="218" t="str">
        <f ca="1">IF(AND(NOT(ISNUMBER(AB72)),NOT(ISNUMBER(AG72))),"",IF(ISNUMBER(AB72),AB72,0)+IF(ISNUMBER(AG72),AG72,0))</f>
        <v/>
      </c>
      <c r="S72" s="102" t="s">
        <v>172</v>
      </c>
      <c r="T72" s="216" t="str">
        <f>IF(ISNUMBER(L72),"Kohdetieto",IF(OR(C73=Pudotusvalikot!$D$14,C73=Pudotusvalikot!$D$15),Kalusto!$I$96,VLOOKUP(C73,Kalusto!$C$44:$L$83,7,FALSE)))</f>
        <v>Maansiirtoauto</v>
      </c>
      <c r="U72" s="216">
        <f>IF(ISNUMBER(L72),"Kohdetieto",IF(OR(C73=Pudotusvalikot!$D$14,C73=Pudotusvalikot!$D$15),Kalusto!$J$96,VLOOKUP(C73,Kalusto!$C$44:$L$83,8,FALSE)))</f>
        <v>32</v>
      </c>
      <c r="V72" s="217">
        <f>IF(ISNUMBER(L72),"Kohdetieto",IF(OR(C73=Pudotusvalikot!$D$14,C73=Pudotusvalikot!$D$15),Kalusto!$K$96,VLOOKUP(C73,Kalusto!$C$44:$L$83,9,FALSE)))</f>
        <v>0.8</v>
      </c>
      <c r="W72" s="217" t="str">
        <f>IF(ISNUMBER(L72),"Kohdetieto",IF(OR(C73=Pudotusvalikot!$D$14,C73=Pudotusvalikot!$D$15),Kalusto!$L$96,VLOOKUP(C73,Kalusto!$C$44:$L$83,10,FALSE)))</f>
        <v>maantieajo</v>
      </c>
      <c r="X72" s="218" t="str">
        <f>IF(ISBLANK(C72),"",IF(D72="t",C72,C72*G72))</f>
        <v/>
      </c>
      <c r="Y72" s="216" t="str">
        <f>IF(ISNUMBER(C75),C75,"")</f>
        <v/>
      </c>
      <c r="Z72" s="218" t="str">
        <f>IF(ISNUMBER(X72/(U72*V72)*Y72),X72/(U72*V72)*Y72,"")</f>
        <v/>
      </c>
      <c r="AA72" s="219">
        <f>IF(ISNUMBER(L72),L72,K72)</f>
        <v>6.1090000000000005E-2</v>
      </c>
      <c r="AB72" s="218" t="str">
        <f>IF(ISNUMBER(Y72*X72*K72),Y72*X72*K72,"")</f>
        <v/>
      </c>
      <c r="AC72" s="218" t="str">
        <f>IF(C87="Kyllä",Y72,"")</f>
        <v/>
      </c>
      <c r="AD72" s="218" t="str">
        <f>IF(C87="Kyllä",IF(ISNUMBER(X72/(U72*V72)),X72/(U72*V72),""),"")</f>
        <v/>
      </c>
      <c r="AE72" s="50" t="str">
        <f>IF(ISNUMBER(AD72*AC72),AD72*AC72,"")</f>
        <v/>
      </c>
      <c r="AF72" s="51">
        <f ca="1">IF(ISNUMBER(L73),L73,K73)</f>
        <v>0.71940999999999999</v>
      </c>
      <c r="AG72" s="50" t="str">
        <f ca="1">IF(ISNUMBER(AC72*AD72*K73),AC72*AD72*K73,"")</f>
        <v/>
      </c>
      <c r="AH72" s="48">
        <f>IF(T72="Jakelukuorma-auto",0,IF(T72="Maansiirtoauto",4,IF(T72="Puoliperävaunu",6,8)))</f>
        <v>4</v>
      </c>
      <c r="AI72" s="48">
        <f>IF(AND(T72="Jakelukuorma-auto",U72=6),0,IF(AND(T72="Jakelukuorma-auto",U72=15),2,0))</f>
        <v>0</v>
      </c>
      <c r="AJ72" s="48">
        <f>IF(W72="maantieajo",0,1)</f>
        <v>0</v>
      </c>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46.5" x14ac:dyDescent="0.3">
      <c r="B73" s="170" t="s">
        <v>512</v>
      </c>
      <c r="C73" s="392" t="s">
        <v>84</v>
      </c>
      <c r="D73" s="393"/>
      <c r="E73" s="393"/>
      <c r="F73" s="393"/>
      <c r="G73" s="394"/>
      <c r="H73" s="84"/>
      <c r="J73" s="33" t="s">
        <v>442</v>
      </c>
      <c r="K73" s="96">
        <f ca="1">IF(ISNUMBER(L73),L73,IF($C$102="Ei","",IF(AND($C$102="Kyllä",OR(C73=Pudotusvalikot!$D$14,C73=Pudotusvalikot!$D$15)),Kalusto!$G$97,OFFSET(Kalusto!$G$85,AH72+AJ72+AI72,0,1,1)))*IF(OR(C74=Pudotusvalikot!$V$3,C74=Pudotusvalikot!$V$4),Muut!$E$38,IF(C74=Pudotusvalikot!$V$5,Muut!$E$39,IF(C74=Pudotusvalikot!$V$6,Muut!$E$40,Muut!$E$41))))</f>
        <v>0.71940999999999999</v>
      </c>
      <c r="L73" s="40"/>
      <c r="M73" s="41" t="s">
        <v>204</v>
      </c>
      <c r="N73" s="41"/>
      <c r="O73" s="265"/>
      <c r="P73" s="34"/>
      <c r="Q73" s="52"/>
      <c r="R73" s="44"/>
      <c r="S73" s="36"/>
      <c r="T73" s="44"/>
      <c r="U73" s="44"/>
      <c r="V73" s="44"/>
      <c r="W73" s="44"/>
      <c r="X73" s="44"/>
      <c r="Y73" s="44"/>
      <c r="Z73" s="44"/>
      <c r="AA73" s="44"/>
      <c r="AB73" s="44"/>
      <c r="AC73" s="44"/>
      <c r="AD73" s="44"/>
      <c r="AE73" s="36"/>
      <c r="AF73" s="36"/>
      <c r="AG73" s="36"/>
      <c r="AH73" s="36"/>
      <c r="AI73" s="36"/>
      <c r="AJ73" s="36"/>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5" x14ac:dyDescent="0.3">
      <c r="B74" s="186" t="s">
        <v>506</v>
      </c>
      <c r="C74" s="160" t="s">
        <v>242</v>
      </c>
      <c r="D74" s="34"/>
      <c r="E74" s="34"/>
      <c r="F74" s="34"/>
      <c r="G74" s="34"/>
      <c r="H74" s="59"/>
      <c r="J74" s="173"/>
      <c r="K74" s="173"/>
      <c r="L74" s="173"/>
      <c r="M74" s="41"/>
      <c r="N74" s="41"/>
      <c r="O74" s="265"/>
      <c r="Q74" s="47"/>
      <c r="R74" s="232"/>
      <c r="S74" s="102"/>
      <c r="T74" s="44"/>
      <c r="U74" s="44"/>
      <c r="V74" s="220"/>
      <c r="W74" s="220"/>
      <c r="X74" s="221"/>
      <c r="Y74" s="44"/>
      <c r="Z74" s="221"/>
      <c r="AA74" s="222"/>
      <c r="AB74" s="221"/>
      <c r="AC74" s="221"/>
      <c r="AD74" s="221"/>
      <c r="AE74" s="61"/>
      <c r="AF74" s="182"/>
      <c r="AG74" s="61"/>
      <c r="AH74" s="36"/>
      <c r="AI74" s="36"/>
      <c r="AJ74" s="36"/>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15.5" x14ac:dyDescent="0.3">
      <c r="B75" s="45" t="s">
        <v>514</v>
      </c>
      <c r="C75" s="162"/>
      <c r="D75" s="84" t="s">
        <v>5</v>
      </c>
      <c r="G75" s="34"/>
      <c r="H75" s="84"/>
      <c r="J75" s="53"/>
      <c r="K75" s="34"/>
      <c r="L75" s="34"/>
      <c r="M75" s="84"/>
      <c r="N75" s="84"/>
      <c r="O75" s="100"/>
      <c r="P75" s="53"/>
      <c r="Q75" s="52"/>
      <c r="R75" s="44"/>
      <c r="S75" s="36"/>
      <c r="T75" s="44"/>
      <c r="U75" s="44"/>
      <c r="V75" s="44"/>
      <c r="W75" s="44"/>
      <c r="X75" s="44"/>
      <c r="Y75" s="44"/>
      <c r="Z75" s="44"/>
      <c r="AA75" s="44"/>
      <c r="AB75" s="44"/>
      <c r="AC75" s="44"/>
      <c r="AD75" s="44"/>
      <c r="AE75" s="36"/>
      <c r="AF75" s="36"/>
      <c r="AG75" s="36"/>
      <c r="AH75" s="36"/>
      <c r="AI75" s="36"/>
      <c r="AJ75" s="36"/>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15.5" x14ac:dyDescent="0.3">
      <c r="B76" s="155" t="s">
        <v>460</v>
      </c>
      <c r="C76" s="34"/>
      <c r="D76" s="84"/>
      <c r="G76" s="34"/>
      <c r="H76" s="84"/>
      <c r="J76" s="33"/>
      <c r="K76" s="38" t="s">
        <v>329</v>
      </c>
      <c r="L76" s="38" t="s">
        <v>201</v>
      </c>
      <c r="M76" s="84"/>
      <c r="N76" s="84"/>
      <c r="O76" s="100"/>
      <c r="P76" s="34"/>
      <c r="Q76" s="35"/>
      <c r="R76" s="221" t="s">
        <v>350</v>
      </c>
      <c r="S76" s="36"/>
      <c r="T76" s="44" t="s">
        <v>446</v>
      </c>
      <c r="U76" s="44" t="s">
        <v>445</v>
      </c>
      <c r="V76" s="44" t="s">
        <v>443</v>
      </c>
      <c r="W76" s="44" t="s">
        <v>444</v>
      </c>
      <c r="X76" s="44" t="s">
        <v>447</v>
      </c>
      <c r="Y76" s="44" t="s">
        <v>449</v>
      </c>
      <c r="Z76" s="44" t="s">
        <v>448</v>
      </c>
      <c r="AA76" s="44" t="s">
        <v>202</v>
      </c>
      <c r="AB76" s="44" t="s">
        <v>380</v>
      </c>
      <c r="AC76" s="44" t="s">
        <v>450</v>
      </c>
      <c r="AD76" s="44" t="s">
        <v>381</v>
      </c>
      <c r="AE76" s="44" t="s">
        <v>451</v>
      </c>
      <c r="AF76" s="44" t="s">
        <v>452</v>
      </c>
      <c r="AG76" s="44" t="s">
        <v>638</v>
      </c>
      <c r="AH76" s="36" t="s">
        <v>206</v>
      </c>
      <c r="AI76" s="36" t="s">
        <v>278</v>
      </c>
      <c r="AJ76" s="36" t="s">
        <v>207</v>
      </c>
      <c r="AK76" s="108"/>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46.5" x14ac:dyDescent="0.3">
      <c r="B77" s="170" t="s">
        <v>513</v>
      </c>
      <c r="C77" s="161"/>
      <c r="D77" s="89" t="s">
        <v>175</v>
      </c>
      <c r="E77" s="34"/>
      <c r="F77" s="34"/>
      <c r="G77" s="161">
        <v>2</v>
      </c>
      <c r="H77" s="84" t="str">
        <f>IF(D77="t","t/t","t/m3")</f>
        <v>t/m3</v>
      </c>
      <c r="J77" s="173" t="s">
        <v>441</v>
      </c>
      <c r="K77" s="96">
        <f>IF(ISNUMBER(L77),L77,IF(OR(C78=Pudotusvalikot!$D$14,C78=Pudotusvalikot!$D$15),Kalusto!$G$96,VLOOKUP(C78,Kalusto!$C$44:$G$83,5,FALSE))*IF(OR(C79=Pudotusvalikot!$V$3,C79=Pudotusvalikot!$V$4),Muut!$E$38,IF(C79=Pudotusvalikot!$V$5,Muut!$E$39,IF(C79=Pudotusvalikot!$V$6,Muut!$E$40,Muut!$E$41))))</f>
        <v>6.1090000000000005E-2</v>
      </c>
      <c r="L77" s="40"/>
      <c r="M77" s="41" t="s">
        <v>200</v>
      </c>
      <c r="N77" s="41"/>
      <c r="O77" s="265"/>
      <c r="Q77" s="47"/>
      <c r="R77" s="218" t="str">
        <f ca="1">IF(AND(NOT(ISNUMBER(AB77)),NOT(ISNUMBER(AG77))),"",IF(ISNUMBER(AB77),AB77,0)+IF(ISNUMBER(AG77),AG77,0))</f>
        <v/>
      </c>
      <c r="S77" s="102" t="s">
        <v>172</v>
      </c>
      <c r="T77" s="216" t="str">
        <f>IF(ISNUMBER(L77),"Kohdetieto",IF(OR(C78=Pudotusvalikot!$D$14,C78=Pudotusvalikot!$D$15),Kalusto!$I$96,VLOOKUP(C78,Kalusto!$C$44:$L$83,7,FALSE)))</f>
        <v>Maansiirtoauto</v>
      </c>
      <c r="U77" s="216">
        <f>IF(ISNUMBER(L77),"Kohdetieto",IF(OR(C78=Pudotusvalikot!$D$14,C78=Pudotusvalikot!$D$15),Kalusto!$J$96,VLOOKUP(C78,Kalusto!$C$44:$L$83,8,FALSE)))</f>
        <v>32</v>
      </c>
      <c r="V77" s="217">
        <f>IF(ISNUMBER(L77),"Kohdetieto",IF(OR(C78=Pudotusvalikot!$D$14,C78=Pudotusvalikot!$D$15),Kalusto!$K$96,VLOOKUP(C78,Kalusto!$C$44:$L$83,9,FALSE)))</f>
        <v>0.8</v>
      </c>
      <c r="W77" s="217" t="str">
        <f>IF(ISNUMBER(L77),"Kohdetieto",IF(OR(C78=Pudotusvalikot!$D$14,C78=Pudotusvalikot!$D$15),Kalusto!$L$96,VLOOKUP(C78,Kalusto!$C$44:$L$83,10,FALSE)))</f>
        <v>maantieajo</v>
      </c>
      <c r="X77" s="218" t="str">
        <f>IF(ISBLANK(C77),"",IF(D77="t",C77,C77*G77))</f>
        <v/>
      </c>
      <c r="Y77" s="216" t="str">
        <f>IF(ISNUMBER(C80),C80,"")</f>
        <v/>
      </c>
      <c r="Z77" s="218" t="str">
        <f>IF(ISNUMBER(X77/(U77*V77)*Y77),X77/(U77*V77)*Y77,"")</f>
        <v/>
      </c>
      <c r="AA77" s="219">
        <f>IF(ISNUMBER(L77),L77,K77)</f>
        <v>6.1090000000000005E-2</v>
      </c>
      <c r="AB77" s="218" t="str">
        <f>IF(ISNUMBER(Y77*X77*K77),Y77*X77*K77,"")</f>
        <v/>
      </c>
      <c r="AC77" s="218" t="str">
        <f>IF(C87="Kyllä",Y77,"")</f>
        <v/>
      </c>
      <c r="AD77" s="218" t="str">
        <f>IF(C87="Kyllä",IF(ISNUMBER(X77/(U77*V77)),X77/(U77*V77),""),"")</f>
        <v/>
      </c>
      <c r="AE77" s="50" t="str">
        <f>IF(ISNUMBER(AD77*AC77),AD77*AC77,"")</f>
        <v/>
      </c>
      <c r="AF77" s="51">
        <f ca="1">IF(ISNUMBER(L78),L78,K78)</f>
        <v>0.71940999999999999</v>
      </c>
      <c r="AG77" s="50" t="str">
        <f ca="1">IF(ISNUMBER(AC77*AD77*K78),AC77*AD77*K78,"")</f>
        <v/>
      </c>
      <c r="AH77" s="48">
        <f>IF(T77="Jakelukuorma-auto",0,IF(T77="Maansiirtoauto",4,IF(T77="Puoliperävaunu",6,8)))</f>
        <v>4</v>
      </c>
      <c r="AI77" s="48">
        <f>IF(AND(T77="Jakelukuorma-auto",U77=6),0,IF(AND(T77="Jakelukuorma-auto",U77=15),2,0))</f>
        <v>0</v>
      </c>
      <c r="AJ77" s="48">
        <f>IF(W77="maantieajo",0,1)</f>
        <v>0</v>
      </c>
      <c r="AK77" s="108"/>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46.5" x14ac:dyDescent="0.3">
      <c r="B78" s="170" t="s">
        <v>512</v>
      </c>
      <c r="C78" s="392" t="s">
        <v>84</v>
      </c>
      <c r="D78" s="393"/>
      <c r="E78" s="393"/>
      <c r="F78" s="393"/>
      <c r="G78" s="394"/>
      <c r="H78" s="84"/>
      <c r="J78" s="33" t="s">
        <v>442</v>
      </c>
      <c r="K78" s="96">
        <f ca="1">IF(ISNUMBER(L78),L78,IF($C$102="Ei","",IF(AND($C$102="Kyllä",OR(C78=Pudotusvalikot!$D$14,C78=Pudotusvalikot!$D$15)),Kalusto!$G$97,OFFSET(Kalusto!$G$85,AH77+AJ77+AI77,0,1,1)))*IF(OR(C79=Pudotusvalikot!$V$3,C79=Pudotusvalikot!$V$4),Muut!$E$38,IF(C79=Pudotusvalikot!$V$5,Muut!$E$39,IF(C79=Pudotusvalikot!$V$6,Muut!$E$40,Muut!$E$41))))</f>
        <v>0.71940999999999999</v>
      </c>
      <c r="L78" s="40"/>
      <c r="M78" s="41" t="s">
        <v>204</v>
      </c>
      <c r="N78" s="41"/>
      <c r="O78" s="265"/>
      <c r="P78" s="34"/>
      <c r="Q78" s="52"/>
      <c r="R78" s="44"/>
      <c r="S78" s="36"/>
      <c r="T78" s="44"/>
      <c r="U78" s="44"/>
      <c r="V78" s="44"/>
      <c r="W78" s="44"/>
      <c r="X78" s="44"/>
      <c r="Y78" s="44"/>
      <c r="Z78" s="44"/>
      <c r="AA78" s="44"/>
      <c r="AB78" s="44"/>
      <c r="AC78" s="44"/>
      <c r="AD78" s="44"/>
      <c r="AE78" s="36"/>
      <c r="AF78" s="36"/>
      <c r="AG78" s="36"/>
      <c r="AH78" s="36"/>
      <c r="AI78" s="36"/>
      <c r="AJ78" s="36"/>
      <c r="AK78" s="108"/>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5" x14ac:dyDescent="0.3">
      <c r="B79" s="186" t="s">
        <v>506</v>
      </c>
      <c r="C79" s="160" t="s">
        <v>242</v>
      </c>
      <c r="D79" s="34"/>
      <c r="E79" s="34"/>
      <c r="F79" s="34"/>
      <c r="G79" s="34"/>
      <c r="H79" s="59"/>
      <c r="J79" s="173"/>
      <c r="K79" s="173"/>
      <c r="L79" s="173"/>
      <c r="M79" s="41"/>
      <c r="N79" s="41"/>
      <c r="O79" s="265"/>
      <c r="Q79" s="47"/>
      <c r="R79" s="232"/>
      <c r="S79" s="102"/>
      <c r="T79" s="44"/>
      <c r="U79" s="44"/>
      <c r="V79" s="220"/>
      <c r="W79" s="220"/>
      <c r="X79" s="221"/>
      <c r="Y79" s="44"/>
      <c r="Z79" s="221"/>
      <c r="AA79" s="222"/>
      <c r="AB79" s="221"/>
      <c r="AC79" s="221"/>
      <c r="AD79" s="221"/>
      <c r="AE79" s="61"/>
      <c r="AF79" s="182"/>
      <c r="AG79" s="61"/>
      <c r="AH79" s="36"/>
      <c r="AI79" s="36"/>
      <c r="AJ79" s="36"/>
      <c r="AK79" s="108"/>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15.5" x14ac:dyDescent="0.3">
      <c r="B80" s="45" t="s">
        <v>514</v>
      </c>
      <c r="C80" s="162"/>
      <c r="D80" s="90" t="s">
        <v>176</v>
      </c>
      <c r="E80" s="58"/>
      <c r="F80" s="58"/>
      <c r="G80" s="34"/>
      <c r="H80" s="84"/>
      <c r="J80" s="53"/>
      <c r="K80" s="34"/>
      <c r="L80" s="34"/>
      <c r="M80" s="84"/>
      <c r="N80" s="84"/>
      <c r="O80" s="100"/>
      <c r="P80" s="53"/>
      <c r="Q80" s="52"/>
      <c r="R80" s="44"/>
      <c r="S80" s="36"/>
      <c r="T80" s="44"/>
      <c r="U80" s="44"/>
      <c r="V80" s="44"/>
      <c r="W80" s="44"/>
      <c r="X80" s="44"/>
      <c r="Y80" s="44"/>
      <c r="Z80" s="44"/>
      <c r="AA80" s="44"/>
      <c r="AB80" s="44"/>
      <c r="AC80" s="44"/>
      <c r="AD80" s="44"/>
      <c r="AE80" s="36"/>
      <c r="AF80" s="36"/>
      <c r="AG80" s="36"/>
      <c r="AH80" s="36"/>
      <c r="AI80" s="36"/>
      <c r="AJ80" s="36"/>
      <c r="AK80" s="108"/>
      <c r="AL80" s="36"/>
      <c r="AM80" s="36"/>
      <c r="AN80" s="37"/>
      <c r="AO80" s="37"/>
      <c r="AP80" s="37"/>
      <c r="AQ80" s="37"/>
      <c r="AR80" s="37"/>
      <c r="AS80" s="37"/>
      <c r="AT80" s="37"/>
      <c r="AU80" s="37"/>
      <c r="AV80" s="37"/>
      <c r="AW80" s="37"/>
      <c r="AX80" s="37"/>
      <c r="AY80" s="37"/>
      <c r="AZ80" s="37"/>
      <c r="BA80" s="37"/>
      <c r="BB80" s="37"/>
      <c r="BC80" s="37"/>
      <c r="BD80" s="37"/>
      <c r="BE80" s="37"/>
    </row>
    <row r="81" spans="2:57" s="31" customFormat="1" ht="15.5" x14ac:dyDescent="0.3">
      <c r="B81" s="155" t="s">
        <v>334</v>
      </c>
      <c r="C81" s="34"/>
      <c r="D81" s="84"/>
      <c r="G81" s="34"/>
      <c r="H81" s="84"/>
      <c r="J81" s="33"/>
      <c r="K81" s="38" t="s">
        <v>329</v>
      </c>
      <c r="L81" s="38" t="s">
        <v>201</v>
      </c>
      <c r="M81" s="84"/>
      <c r="N81" s="84"/>
      <c r="O81" s="100"/>
      <c r="P81" s="34"/>
      <c r="Q81" s="35"/>
      <c r="R81" s="221" t="s">
        <v>350</v>
      </c>
      <c r="S81" s="36"/>
      <c r="T81" s="44" t="s">
        <v>446</v>
      </c>
      <c r="U81" s="44" t="s">
        <v>445</v>
      </c>
      <c r="V81" s="44" t="s">
        <v>443</v>
      </c>
      <c r="W81" s="44" t="s">
        <v>444</v>
      </c>
      <c r="X81" s="44" t="s">
        <v>447</v>
      </c>
      <c r="Y81" s="44" t="s">
        <v>449</v>
      </c>
      <c r="Z81" s="44" t="s">
        <v>448</v>
      </c>
      <c r="AA81" s="44" t="s">
        <v>202</v>
      </c>
      <c r="AB81" s="44" t="s">
        <v>380</v>
      </c>
      <c r="AC81" s="44" t="s">
        <v>450</v>
      </c>
      <c r="AD81" s="44" t="s">
        <v>381</v>
      </c>
      <c r="AE81" s="44" t="s">
        <v>451</v>
      </c>
      <c r="AF81" s="44" t="s">
        <v>452</v>
      </c>
      <c r="AG81" s="44" t="s">
        <v>638</v>
      </c>
      <c r="AH81" s="36" t="s">
        <v>206</v>
      </c>
      <c r="AI81" s="36" t="s">
        <v>278</v>
      </c>
      <c r="AJ81" s="36" t="s">
        <v>207</v>
      </c>
      <c r="AK81" s="108"/>
      <c r="AL81" s="36"/>
      <c r="AM81" s="36"/>
      <c r="AN81" s="37"/>
      <c r="AO81" s="37"/>
      <c r="AP81" s="37"/>
      <c r="AQ81" s="37"/>
      <c r="AR81" s="37"/>
      <c r="AS81" s="37"/>
      <c r="AT81" s="37"/>
      <c r="AU81" s="37"/>
      <c r="AV81" s="37"/>
      <c r="AW81" s="37"/>
      <c r="AX81" s="37"/>
      <c r="AY81" s="37"/>
      <c r="AZ81" s="37"/>
      <c r="BA81" s="37"/>
      <c r="BB81" s="37"/>
      <c r="BC81" s="37"/>
      <c r="BD81" s="37"/>
      <c r="BE81" s="37"/>
    </row>
    <row r="82" spans="2:57" s="31" customFormat="1" ht="46.5" x14ac:dyDescent="0.3">
      <c r="B82" s="170" t="s">
        <v>513</v>
      </c>
      <c r="C82" s="161"/>
      <c r="D82" s="89" t="s">
        <v>175</v>
      </c>
      <c r="E82" s="34"/>
      <c r="F82" s="34"/>
      <c r="G82" s="161">
        <v>2</v>
      </c>
      <c r="H82" s="84" t="str">
        <f>IF(D82="t","t/t","t/m3")</f>
        <v>t/m3</v>
      </c>
      <c r="J82" s="173" t="s">
        <v>441</v>
      </c>
      <c r="K82" s="96">
        <f>IF(ISNUMBER(L82),L82,IF(OR(C83=Pudotusvalikot!$D$14,C83=Pudotusvalikot!$D$15),Kalusto!$G$96,VLOOKUP(C83,Kalusto!$C$44:$G$83,5,FALSE))*IF(OR(C84=Pudotusvalikot!$V$3,C84=Pudotusvalikot!$V$4),Muut!$E$38,IF(C84=Pudotusvalikot!$V$5,Muut!$E$39,IF(C84=Pudotusvalikot!$V$6,Muut!$E$40,Muut!$E$41))))</f>
        <v>5.7709999999999997E-2</v>
      </c>
      <c r="L82" s="40"/>
      <c r="M82" s="41" t="s">
        <v>200</v>
      </c>
      <c r="N82" s="41"/>
      <c r="O82" s="265"/>
      <c r="Q82" s="47"/>
      <c r="R82" s="218" t="str">
        <f ca="1">IF(AND(NOT(ISNUMBER(AB82)),NOT(ISNUMBER(AG82))),"",IF(ISNUMBER(AB82),AB82,0)+IF(ISNUMBER(AG82),AG82,0))</f>
        <v/>
      </c>
      <c r="S82" s="102" t="s">
        <v>172</v>
      </c>
      <c r="T82" s="216" t="str">
        <f>IF(ISNUMBER(L82),"Kohdetieto",IF(OR(C83=Pudotusvalikot!$D$14,C83=Pudotusvalikot!$D$15),Kalusto!$I$96,VLOOKUP(C83,Kalusto!$C$44:$L$83,7,FALSE)))</f>
        <v>Maansiirtoauto</v>
      </c>
      <c r="U82" s="216">
        <f>IF(ISNUMBER(L82),"Kohdetieto",IF(OR(C83=Pudotusvalikot!$D$14,C83=Pudotusvalikot!$D$15),Kalusto!$J$96,VLOOKUP(C83,Kalusto!$C$44:$L$83,8,FALSE)))</f>
        <v>32</v>
      </c>
      <c r="V82" s="217">
        <f>IF(ISNUMBER(L82),"Kohdetieto",IF(OR(C83=Pudotusvalikot!$D$14,C83=Pudotusvalikot!$D$15),Kalusto!$K$96,VLOOKUP(C83,Kalusto!$C$44:$L$83,9,FALSE)))</f>
        <v>0.8</v>
      </c>
      <c r="W82" s="217" t="str">
        <f>IF(ISNUMBER(L82),"Kohdetieto",IF(OR(C83=Pudotusvalikot!$D$14,C83=Pudotusvalikot!$D$15),Kalusto!$L$96,VLOOKUP(C83,Kalusto!$C$44:$L$83,10,FALSE)))</f>
        <v>maantieajo</v>
      </c>
      <c r="X82" s="218" t="str">
        <f>IF(ISBLANK(C82),"",IF(D82="t",C82,C82*G82))</f>
        <v/>
      </c>
      <c r="Y82" s="216" t="str">
        <f>IF(ISNUMBER(C85),C85,"")</f>
        <v/>
      </c>
      <c r="Z82" s="218" t="str">
        <f>IF(ISNUMBER(X82/(U82*V82)*Y82),X82/(U82*V82)*Y82,"")</f>
        <v/>
      </c>
      <c r="AA82" s="219">
        <f>IF(ISNUMBER(L82),L82,K82)</f>
        <v>5.7709999999999997E-2</v>
      </c>
      <c r="AB82" s="218" t="str">
        <f>IF(ISNUMBER(Y82*X82*K82),Y82*X82*K82,"")</f>
        <v/>
      </c>
      <c r="AC82" s="218" t="str">
        <f>IF(C87="Kyllä",Y82,"")</f>
        <v/>
      </c>
      <c r="AD82" s="218" t="str">
        <f>IF(C87="Kyllä",IF(ISNUMBER(X82/(U82*V82)),X82/(U82*V82),""),"")</f>
        <v/>
      </c>
      <c r="AE82" s="50" t="str">
        <f>IF(ISNUMBER(AD82*AC82),AD82*AC82,"")</f>
        <v/>
      </c>
      <c r="AF82" s="51">
        <f ca="1">IF(ISNUMBER(L83),L83,K83)</f>
        <v>0.71940999999999999</v>
      </c>
      <c r="AG82" s="50" t="str">
        <f ca="1">IF(ISNUMBER(AC82*AD82*K83),AC82*AD82*K83,"")</f>
        <v/>
      </c>
      <c r="AH82" s="48">
        <f>IF(T82="Jakelukuorma-auto",0,IF(T82="Maansiirtoauto",4,IF(T82="Puoliperävaunu",6,8)))</f>
        <v>4</v>
      </c>
      <c r="AI82" s="48">
        <f>IF(AND(T82="Jakelukuorma-auto",U82=6),0,IF(AND(T82="Jakelukuorma-auto",U82=15),2,0))</f>
        <v>0</v>
      </c>
      <c r="AJ82" s="48">
        <f>IF(W82="maantieajo",0,1)</f>
        <v>0</v>
      </c>
      <c r="AK82" s="108"/>
      <c r="AL82" s="36"/>
      <c r="AM82" s="36"/>
      <c r="AN82" s="37"/>
      <c r="AO82" s="37"/>
      <c r="AP82" s="37"/>
      <c r="AQ82" s="37"/>
      <c r="AR82" s="37"/>
      <c r="AS82" s="37"/>
      <c r="AT82" s="37"/>
      <c r="AU82" s="37"/>
      <c r="AV82" s="37"/>
      <c r="AW82" s="37"/>
      <c r="AX82" s="37"/>
      <c r="AY82" s="37"/>
      <c r="AZ82" s="37"/>
      <c r="BA82" s="37"/>
      <c r="BB82" s="37"/>
      <c r="BC82" s="37"/>
      <c r="BD82" s="37"/>
      <c r="BE82" s="37"/>
    </row>
    <row r="83" spans="2:57" s="31" customFormat="1" ht="46.5" x14ac:dyDescent="0.3">
      <c r="B83" s="170" t="s">
        <v>512</v>
      </c>
      <c r="C83" s="392" t="s">
        <v>330</v>
      </c>
      <c r="D83" s="393"/>
      <c r="E83" s="393"/>
      <c r="F83" s="393"/>
      <c r="G83" s="394"/>
      <c r="H83" s="84"/>
      <c r="J83" s="33" t="s">
        <v>442</v>
      </c>
      <c r="K83" s="96">
        <f ca="1">IF(ISNUMBER(L83),L83,IF($C$102="Ei","",IF(AND($C$102="Kyllä",OR(C83=Pudotusvalikot!$D$14,C83=Pudotusvalikot!$D$15)),Kalusto!$G$97,OFFSET(Kalusto!$G$85,AH82+AJ82+AI82,0,1,1)))*IF(OR(C84=Pudotusvalikot!$V$3,C84=Pudotusvalikot!$V$4),Muut!$E$38,IF(C84=Pudotusvalikot!$V$5,Muut!$E$39,IF(C84=Pudotusvalikot!$V$6,Muut!$E$40,Muut!$E$41))))</f>
        <v>0.71940999999999999</v>
      </c>
      <c r="L83" s="40"/>
      <c r="M83" s="41" t="s">
        <v>204</v>
      </c>
      <c r="N83" s="41"/>
      <c r="O83" s="265"/>
      <c r="P83" s="34"/>
      <c r="Q83" s="52"/>
      <c r="R83" s="106"/>
      <c r="S83" s="36"/>
      <c r="T83" s="44"/>
      <c r="U83" s="44"/>
      <c r="V83" s="44"/>
      <c r="W83" s="44"/>
      <c r="X83" s="44"/>
      <c r="Y83" s="44"/>
      <c r="Z83" s="44"/>
      <c r="AA83" s="44"/>
      <c r="AB83" s="44"/>
      <c r="AC83" s="44"/>
      <c r="AD83" s="44"/>
      <c r="AE83" s="36"/>
      <c r="AF83" s="36"/>
      <c r="AG83" s="36"/>
      <c r="AH83" s="36"/>
      <c r="AI83" s="36"/>
      <c r="AJ83" s="36"/>
      <c r="AK83" s="36"/>
      <c r="AL83" s="36"/>
      <c r="AM83" s="36"/>
      <c r="AN83" s="37"/>
      <c r="AO83" s="37"/>
      <c r="AP83" s="37"/>
      <c r="AQ83" s="37"/>
      <c r="AR83" s="37"/>
      <c r="AS83" s="37"/>
      <c r="AT83" s="37"/>
      <c r="AU83" s="37"/>
      <c r="AV83" s="37"/>
      <c r="AW83" s="37"/>
      <c r="AX83" s="37"/>
      <c r="AY83" s="37"/>
      <c r="AZ83" s="37"/>
      <c r="BA83" s="37"/>
      <c r="BB83" s="37"/>
      <c r="BC83" s="37"/>
      <c r="BD83" s="37"/>
      <c r="BE83" s="37"/>
    </row>
    <row r="84" spans="2:57" s="31" customFormat="1" ht="15.5" x14ac:dyDescent="0.3">
      <c r="B84" s="186" t="s">
        <v>506</v>
      </c>
      <c r="C84" s="160" t="s">
        <v>242</v>
      </c>
      <c r="D84" s="34"/>
      <c r="E84" s="34"/>
      <c r="F84" s="34"/>
      <c r="G84" s="34"/>
      <c r="H84" s="59"/>
      <c r="J84" s="173"/>
      <c r="K84" s="173"/>
      <c r="L84" s="173"/>
      <c r="M84" s="41"/>
      <c r="N84" s="41"/>
      <c r="O84" s="265"/>
      <c r="Q84" s="47"/>
      <c r="R84" s="232"/>
      <c r="S84" s="102"/>
      <c r="T84" s="44"/>
      <c r="U84" s="44"/>
      <c r="V84" s="220"/>
      <c r="W84" s="220"/>
      <c r="X84" s="221"/>
      <c r="Y84" s="44"/>
      <c r="Z84" s="221"/>
      <c r="AA84" s="222"/>
      <c r="AB84" s="221"/>
      <c r="AC84" s="221"/>
      <c r="AD84" s="221"/>
      <c r="AE84" s="61"/>
      <c r="AF84" s="182"/>
      <c r="AG84" s="61"/>
      <c r="AH84" s="36"/>
      <c r="AI84" s="36"/>
      <c r="AJ84" s="36"/>
      <c r="AK84" s="108"/>
      <c r="AL84" s="36"/>
      <c r="AM84" s="36"/>
      <c r="AN84" s="37"/>
      <c r="AO84" s="37"/>
      <c r="AP84" s="37"/>
      <c r="AQ84" s="37"/>
      <c r="AR84" s="37"/>
      <c r="AS84" s="37"/>
      <c r="AT84" s="37"/>
      <c r="AU84" s="37"/>
      <c r="AV84" s="37"/>
      <c r="AW84" s="37"/>
      <c r="AX84" s="37"/>
      <c r="AY84" s="37"/>
      <c r="AZ84" s="37"/>
      <c r="BA84" s="37"/>
      <c r="BB84" s="37"/>
      <c r="BC84" s="37"/>
      <c r="BD84" s="37"/>
      <c r="BE84" s="37"/>
    </row>
    <row r="85" spans="2:57" s="31" customFormat="1" ht="15.5" x14ac:dyDescent="0.3">
      <c r="B85" s="45" t="s">
        <v>514</v>
      </c>
      <c r="C85" s="162"/>
      <c r="D85" s="84" t="s">
        <v>5</v>
      </c>
      <c r="G85" s="34"/>
      <c r="H85" s="84"/>
      <c r="J85" s="53"/>
      <c r="K85" s="34"/>
      <c r="L85" s="34"/>
      <c r="M85" s="84"/>
      <c r="N85" s="84"/>
      <c r="O85" s="100"/>
      <c r="P85" s="53"/>
      <c r="Q85" s="52"/>
      <c r="R85" s="106"/>
      <c r="S85" s="36"/>
      <c r="T85" s="44"/>
      <c r="U85" s="44"/>
      <c r="V85" s="44"/>
      <c r="W85" s="44"/>
      <c r="X85" s="44"/>
      <c r="Y85" s="44"/>
      <c r="Z85" s="44"/>
      <c r="AA85" s="44"/>
      <c r="AB85" s="44"/>
      <c r="AC85" s="44"/>
      <c r="AD85" s="44"/>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7" s="31" customFormat="1" ht="15.5" x14ac:dyDescent="0.3">
      <c r="C86" s="34"/>
      <c r="D86" s="84"/>
      <c r="G86" s="34"/>
      <c r="H86" s="84"/>
      <c r="J86" s="33"/>
      <c r="K86" s="34"/>
      <c r="L86" s="34"/>
      <c r="M86" s="84"/>
      <c r="N86" s="84"/>
      <c r="O86" s="100"/>
      <c r="Q86" s="35"/>
      <c r="R86" s="106"/>
      <c r="S86" s="36"/>
      <c r="T86" s="44"/>
      <c r="U86" s="44"/>
      <c r="V86" s="44"/>
      <c r="W86" s="44"/>
      <c r="X86" s="44"/>
      <c r="Y86" s="44"/>
      <c r="Z86" s="44"/>
      <c r="AA86" s="44"/>
      <c r="AB86" s="44"/>
      <c r="AC86" s="44"/>
      <c r="AD86" s="44"/>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7" s="31" customFormat="1" ht="46.5" x14ac:dyDescent="0.3">
      <c r="B87" s="78" t="s">
        <v>668</v>
      </c>
      <c r="C87" s="392" t="s">
        <v>6</v>
      </c>
      <c r="D87" s="394"/>
      <c r="E87" s="34"/>
      <c r="F87" s="58"/>
      <c r="G87" s="34"/>
      <c r="H87" s="84"/>
      <c r="J87" s="33"/>
      <c r="K87" s="34"/>
      <c r="L87" s="34"/>
      <c r="M87" s="84"/>
      <c r="N87" s="84"/>
      <c r="O87" s="100"/>
      <c r="Q87" s="35"/>
      <c r="R87" s="106"/>
      <c r="S87" s="36"/>
      <c r="T87" s="44"/>
      <c r="U87" s="44"/>
      <c r="V87" s="44"/>
      <c r="W87" s="44"/>
      <c r="X87" s="44"/>
      <c r="Y87" s="44"/>
      <c r="Z87" s="44"/>
      <c r="AA87" s="44"/>
      <c r="AB87" s="44"/>
      <c r="AC87" s="44"/>
      <c r="AD87" s="44"/>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7" s="31" customFormat="1" ht="15.5" x14ac:dyDescent="0.3">
      <c r="C88" s="34"/>
      <c r="D88" s="84"/>
      <c r="G88" s="34"/>
      <c r="H88" s="84"/>
      <c r="J88" s="33"/>
      <c r="K88" s="34"/>
      <c r="L88" s="34"/>
      <c r="M88" s="84"/>
      <c r="N88" s="84"/>
      <c r="O88" s="84"/>
      <c r="Q88" s="35"/>
      <c r="R88" s="106"/>
      <c r="S88" s="36"/>
      <c r="T88" s="44"/>
      <c r="U88" s="44"/>
      <c r="V88" s="44"/>
      <c r="W88" s="44"/>
      <c r="X88" s="44"/>
      <c r="Y88" s="44"/>
      <c r="Z88" s="44"/>
      <c r="AA88" s="44"/>
      <c r="AB88" s="44"/>
      <c r="AC88" s="44"/>
      <c r="AD88" s="44"/>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2:57" s="298" customFormat="1" ht="18" x14ac:dyDescent="0.3">
      <c r="B89" s="295" t="s">
        <v>626</v>
      </c>
      <c r="C89" s="296"/>
      <c r="D89" s="297"/>
      <c r="G89" s="296"/>
      <c r="H89" s="297"/>
      <c r="K89" s="296"/>
      <c r="L89" s="296"/>
      <c r="M89" s="297"/>
      <c r="N89" s="297"/>
      <c r="O89" s="300"/>
      <c r="P89" s="320"/>
      <c r="Q89" s="304"/>
      <c r="R89" s="298" t="str">
        <f>IF(OR(ISNUMBER(#REF!),ISNUMBER(#REF!),ISNUMBER(#REF!),ISNUMBER(#REF!),ISNUMBER(#REF!)),SUM(#REF!,#REF!,#REF!,#REF!,#REF!),"")</f>
        <v/>
      </c>
      <c r="S89" s="303"/>
      <c r="T89" s="303"/>
      <c r="U89" s="303"/>
      <c r="V89" s="303"/>
      <c r="W89" s="303"/>
      <c r="X89" s="303"/>
      <c r="Y89" s="303"/>
      <c r="Z89" s="303"/>
      <c r="AA89" s="303"/>
      <c r="AB89" s="303"/>
      <c r="AC89" s="303"/>
      <c r="AD89" s="303"/>
      <c r="AE89" s="303"/>
      <c r="AF89" s="303"/>
      <c r="AG89" s="303"/>
      <c r="AH89" s="303"/>
      <c r="AI89" s="303"/>
      <c r="AJ89" s="303"/>
      <c r="AK89" s="303"/>
      <c r="AL89" s="303"/>
      <c r="AM89" s="303"/>
      <c r="AN89" s="304"/>
      <c r="AO89" s="304"/>
      <c r="AP89" s="304"/>
      <c r="AQ89" s="304"/>
      <c r="AR89" s="304"/>
      <c r="AS89" s="304"/>
      <c r="AT89" s="304"/>
      <c r="AU89" s="304"/>
      <c r="AV89" s="304"/>
      <c r="AW89" s="304"/>
      <c r="AX89" s="304"/>
      <c r="AY89" s="304"/>
      <c r="AZ89" s="304"/>
      <c r="BA89" s="304"/>
      <c r="BB89" s="304"/>
      <c r="BC89" s="304"/>
      <c r="BD89" s="304"/>
      <c r="BE89" s="304"/>
    </row>
    <row r="90" spans="2:57" s="31" customFormat="1" ht="15.5" x14ac:dyDescent="0.3">
      <c r="B90" s="9"/>
      <c r="C90" s="34"/>
      <c r="D90" s="84"/>
      <c r="G90" s="38" t="s">
        <v>199</v>
      </c>
      <c r="H90" s="84"/>
      <c r="J90" s="33"/>
      <c r="K90" s="38" t="s">
        <v>329</v>
      </c>
      <c r="L90" s="38" t="s">
        <v>201</v>
      </c>
      <c r="M90" s="84"/>
      <c r="N90" s="84"/>
      <c r="O90" s="255" t="s">
        <v>644</v>
      </c>
      <c r="P90" s="38"/>
      <c r="Q90" s="35"/>
      <c r="R90" s="44" t="s">
        <v>350</v>
      </c>
      <c r="S90" s="36"/>
      <c r="T90" s="44" t="s">
        <v>378</v>
      </c>
      <c r="U90" s="44" t="s">
        <v>164</v>
      </c>
      <c r="V90" s="44" t="s">
        <v>355</v>
      </c>
      <c r="W90" s="225"/>
      <c r="X90" s="44"/>
      <c r="Y90" s="44"/>
      <c r="Z90" s="44"/>
      <c r="AA90" s="44"/>
      <c r="AB90" s="44"/>
      <c r="AC90" s="44"/>
      <c r="AD90" s="44"/>
      <c r="AE90" s="36"/>
      <c r="AF90" s="36"/>
      <c r="AG90" s="36"/>
      <c r="AH90" s="36"/>
      <c r="AI90" s="36"/>
      <c r="AJ90" s="36"/>
      <c r="AK90" s="36"/>
      <c r="AL90" s="36"/>
      <c r="AM90" s="36"/>
      <c r="AN90" s="37"/>
      <c r="AO90" s="37"/>
      <c r="AP90" s="37"/>
      <c r="AQ90" s="37"/>
      <c r="AR90" s="37"/>
      <c r="AS90" s="37"/>
      <c r="AT90" s="37"/>
      <c r="AU90" s="37"/>
      <c r="AV90" s="37"/>
      <c r="AW90" s="37"/>
      <c r="AX90" s="37"/>
      <c r="AY90" s="37"/>
      <c r="AZ90" s="37"/>
      <c r="BA90" s="37"/>
      <c r="BB90" s="37"/>
      <c r="BC90" s="37"/>
      <c r="BD90" s="37"/>
      <c r="BE90" s="37"/>
    </row>
    <row r="91" spans="2:57" s="31" customFormat="1" ht="15.5" x14ac:dyDescent="0.3">
      <c r="B91" s="163" t="s">
        <v>462</v>
      </c>
      <c r="C91" s="160"/>
      <c r="D91" s="92" t="s">
        <v>110</v>
      </c>
      <c r="G91" s="66">
        <v>1.8</v>
      </c>
      <c r="H91" s="84" t="s">
        <v>177</v>
      </c>
      <c r="J91" s="33" t="s">
        <v>354</v>
      </c>
      <c r="K91" s="96">
        <f>IF(ISNUMBER(L91),L91,VLOOKUP(B91,Materiaalit!$C$10:$I$21,5,FALSE))</f>
        <v>6.0000000000000001E-3</v>
      </c>
      <c r="L91" s="40"/>
      <c r="M91" s="41" t="s">
        <v>276</v>
      </c>
      <c r="N91" s="41"/>
      <c r="O91" s="256"/>
      <c r="P91" s="41"/>
      <c r="Q91" s="52"/>
      <c r="R91" s="218" t="str">
        <f>IF(ISNUMBER(K91*V91*1000),K91*V91*1000,"")</f>
        <v/>
      </c>
      <c r="S91" s="102" t="s">
        <v>172</v>
      </c>
      <c r="T91" s="218" t="str">
        <f>IF(ISBLANK(C91),"",IF(D91="t",C91,C91*G91))</f>
        <v/>
      </c>
      <c r="U91" s="216">
        <f>VLOOKUP(B91,Materiaalit!$C$10:$I$21,7,FALSE)</f>
        <v>1.05</v>
      </c>
      <c r="V91" s="218" t="str">
        <f>IF(ISNUMBER(U91*T91),U91*T91,"")</f>
        <v/>
      </c>
      <c r="W91" s="225"/>
      <c r="X91" s="44"/>
      <c r="Y91" s="44"/>
      <c r="Z91" s="44"/>
      <c r="AA91" s="44"/>
      <c r="AB91" s="44"/>
      <c r="AC91" s="44"/>
      <c r="AD91" s="44"/>
      <c r="AE91" s="36"/>
      <c r="AF91" s="36"/>
      <c r="AG91" s="36"/>
      <c r="AH91" s="36"/>
      <c r="AI91" s="36"/>
      <c r="AJ91" s="36"/>
      <c r="AK91" s="36"/>
      <c r="AL91" s="36"/>
      <c r="AM91" s="36"/>
      <c r="AN91" s="37"/>
      <c r="AO91" s="37"/>
      <c r="AP91" s="37"/>
      <c r="AQ91" s="37"/>
      <c r="AR91" s="37"/>
      <c r="AS91" s="37"/>
      <c r="AT91" s="37"/>
      <c r="AU91" s="37"/>
      <c r="AV91" s="37"/>
      <c r="AW91" s="37"/>
      <c r="AX91" s="37"/>
      <c r="AY91" s="37"/>
      <c r="AZ91" s="37"/>
      <c r="BA91" s="37"/>
      <c r="BB91" s="37"/>
      <c r="BC91" s="37"/>
      <c r="BD91" s="37"/>
      <c r="BE91" s="37"/>
    </row>
    <row r="92" spans="2:57" s="31" customFormat="1" ht="15.5" x14ac:dyDescent="0.3">
      <c r="B92" s="163" t="s">
        <v>461</v>
      </c>
      <c r="C92" s="160"/>
      <c r="D92" s="89" t="s">
        <v>110</v>
      </c>
      <c r="G92" s="67">
        <f>1/0.6</f>
        <v>1.6666666666666667</v>
      </c>
      <c r="H92" s="84" t="s">
        <v>177</v>
      </c>
      <c r="J92" s="33" t="s">
        <v>354</v>
      </c>
      <c r="K92" s="96">
        <f>IF(ISNUMBER(L92),L92,VLOOKUP(B92,Materiaalit!$C$10:$I$21,5,FALSE))</f>
        <v>6.0000000000000001E-3</v>
      </c>
      <c r="L92" s="40"/>
      <c r="M92" s="41" t="s">
        <v>276</v>
      </c>
      <c r="N92" s="41"/>
      <c r="O92" s="265"/>
      <c r="P92" s="41"/>
      <c r="Q92" s="52"/>
      <c r="R92" s="218" t="str">
        <f>IF(ISNUMBER(K92*V92*1000),K92*V92*1000,"")</f>
        <v/>
      </c>
      <c r="S92" s="102" t="s">
        <v>172</v>
      </c>
      <c r="T92" s="218" t="str">
        <f>IF(ISBLANK(C92),"",IF(D92="t",C92,C92*G92))</f>
        <v/>
      </c>
      <c r="U92" s="216">
        <f>VLOOKUP(B92,Materiaalit!$C$10:$I$21,7,FALSE)</f>
        <v>1.05</v>
      </c>
      <c r="V92" s="218" t="str">
        <f>IF(ISNUMBER(U92*T92),U92*T92,"")</f>
        <v/>
      </c>
      <c r="W92" s="225"/>
      <c r="X92" s="44"/>
      <c r="Y92" s="44"/>
      <c r="Z92" s="44"/>
      <c r="AA92" s="44"/>
      <c r="AB92" s="44"/>
      <c r="AC92" s="44"/>
      <c r="AD92" s="44"/>
      <c r="AE92" s="36"/>
      <c r="AF92" s="36"/>
      <c r="AG92" s="36"/>
      <c r="AH92" s="36"/>
      <c r="AI92" s="36"/>
      <c r="AJ92" s="36"/>
      <c r="AK92" s="36"/>
      <c r="AL92" s="36"/>
      <c r="AM92" s="36"/>
      <c r="AN92" s="37"/>
      <c r="AO92" s="37"/>
      <c r="AP92" s="37"/>
      <c r="AQ92" s="37"/>
      <c r="AR92" s="37"/>
      <c r="AS92" s="37"/>
      <c r="AT92" s="37"/>
      <c r="AU92" s="37"/>
      <c r="AV92" s="37"/>
      <c r="AW92" s="37"/>
      <c r="AX92" s="37"/>
      <c r="AY92" s="37"/>
      <c r="AZ92" s="37"/>
      <c r="BA92" s="37"/>
      <c r="BB92" s="37"/>
      <c r="BC92" s="37"/>
      <c r="BD92" s="37"/>
      <c r="BE92" s="37"/>
    </row>
    <row r="93" spans="2:57" s="31" customFormat="1" ht="15.5" x14ac:dyDescent="0.3">
      <c r="B93" s="163" t="s">
        <v>463</v>
      </c>
      <c r="C93" s="160"/>
      <c r="D93" s="93" t="s">
        <v>110</v>
      </c>
      <c r="G93" s="67">
        <f>1/0.6</f>
        <v>1.6666666666666667</v>
      </c>
      <c r="H93" s="84" t="s">
        <v>177</v>
      </c>
      <c r="J93" s="33" t="s">
        <v>354</v>
      </c>
      <c r="K93" s="96">
        <f>IF(ISNUMBER(L93),L93,VLOOKUP(B93,Materiaalit!$C$10:$I$21,5,FALSE))</f>
        <v>4.0000000000000001E-3</v>
      </c>
      <c r="L93" s="40"/>
      <c r="M93" s="41" t="s">
        <v>276</v>
      </c>
      <c r="N93" s="41"/>
      <c r="O93" s="265"/>
      <c r="P93" s="41"/>
      <c r="Q93" s="52"/>
      <c r="R93" s="218" t="str">
        <f>IF(ISNUMBER(K93*V93*1000),K93*V93*1000,"")</f>
        <v/>
      </c>
      <c r="S93" s="102" t="s">
        <v>172</v>
      </c>
      <c r="T93" s="218" t="str">
        <f>IF(ISBLANK(C93),"",IF(D93="t",C93,C93*G93))</f>
        <v/>
      </c>
      <c r="U93" s="216">
        <f>VLOOKUP(B93,Materiaalit!$C$10:$I$21,7,FALSE)</f>
        <v>1.05</v>
      </c>
      <c r="V93" s="218" t="str">
        <f>IF(ISNUMBER(U93*T93),U93*T93,"")</f>
        <v/>
      </c>
      <c r="W93" s="225"/>
      <c r="X93" s="44"/>
      <c r="Y93" s="44"/>
      <c r="Z93" s="44"/>
      <c r="AA93" s="44"/>
      <c r="AB93" s="44"/>
      <c r="AC93" s="44"/>
      <c r="AD93" s="44"/>
      <c r="AE93" s="36"/>
      <c r="AF93" s="36"/>
      <c r="AG93" s="36"/>
      <c r="AH93" s="36"/>
      <c r="AI93" s="36"/>
      <c r="AJ93" s="36"/>
      <c r="AK93" s="36"/>
      <c r="AL93" s="36"/>
      <c r="AM93" s="36"/>
      <c r="AN93" s="37"/>
      <c r="AO93" s="37"/>
      <c r="AP93" s="37"/>
      <c r="AQ93" s="37"/>
      <c r="AR93" s="37"/>
      <c r="AS93" s="37"/>
      <c r="AT93" s="37"/>
      <c r="AU93" s="37"/>
      <c r="AV93" s="37"/>
      <c r="AW93" s="37"/>
      <c r="AX93" s="37"/>
      <c r="AY93" s="37"/>
      <c r="AZ93" s="37"/>
      <c r="BA93" s="37"/>
      <c r="BB93" s="37"/>
      <c r="BC93" s="37"/>
      <c r="BD93" s="37"/>
      <c r="BE93" s="37"/>
    </row>
    <row r="94" spans="2:57" s="31" customFormat="1" ht="15.5" x14ac:dyDescent="0.3">
      <c r="B94" s="163" t="s">
        <v>464</v>
      </c>
      <c r="C94" s="160"/>
      <c r="D94" s="89" t="s">
        <v>110</v>
      </c>
      <c r="G94" s="67">
        <f>1/0.7</f>
        <v>1.4285714285714286</v>
      </c>
      <c r="H94" s="84" t="s">
        <v>177</v>
      </c>
      <c r="J94" s="33" t="s">
        <v>354</v>
      </c>
      <c r="K94" s="96">
        <f>IF(ISNUMBER(L94),L94,VLOOKUP(B94,Materiaalit!$C$10:$I$21,5,FALSE))</f>
        <v>4.0000000000000001E-3</v>
      </c>
      <c r="L94" s="40"/>
      <c r="M94" s="41" t="s">
        <v>276</v>
      </c>
      <c r="N94" s="41"/>
      <c r="O94" s="265"/>
      <c r="P94" s="41"/>
      <c r="Q94" s="52"/>
      <c r="R94" s="218" t="str">
        <f>IF(ISNUMBER(K94*V94*1000),K94*V94*1000,"")</f>
        <v/>
      </c>
      <c r="S94" s="102" t="s">
        <v>172</v>
      </c>
      <c r="T94" s="218" t="str">
        <f>IF(ISBLANK(C94),"",IF(D94="t",C94,C94*G94))</f>
        <v/>
      </c>
      <c r="U94" s="216">
        <f>VLOOKUP(B94,Materiaalit!$C$10:$I$21,7,FALSE)</f>
        <v>1.05</v>
      </c>
      <c r="V94" s="218" t="str">
        <f>IF(ISNUMBER(U94*T94),U94*T94,"")</f>
        <v/>
      </c>
      <c r="W94" s="225"/>
      <c r="X94" s="44"/>
      <c r="Y94" s="44"/>
      <c r="Z94" s="44"/>
      <c r="AA94" s="44"/>
      <c r="AB94" s="44"/>
      <c r="AC94" s="44"/>
      <c r="AD94" s="44"/>
      <c r="AE94" s="36"/>
      <c r="AF94" s="36"/>
      <c r="AG94" s="36"/>
      <c r="AH94" s="36"/>
      <c r="AI94" s="36"/>
      <c r="AJ94" s="36"/>
      <c r="AK94" s="36"/>
      <c r="AL94" s="36"/>
      <c r="AM94" s="36"/>
      <c r="AN94" s="37"/>
      <c r="AO94" s="37"/>
      <c r="AP94" s="37"/>
      <c r="AQ94" s="37"/>
      <c r="AR94" s="37"/>
      <c r="AS94" s="37"/>
      <c r="AT94" s="37"/>
      <c r="AU94" s="37"/>
      <c r="AV94" s="37"/>
      <c r="AW94" s="37"/>
      <c r="AX94" s="37"/>
      <c r="AY94" s="37"/>
      <c r="AZ94" s="37"/>
      <c r="BA94" s="37"/>
      <c r="BB94" s="37"/>
      <c r="BC94" s="37"/>
      <c r="BD94" s="37"/>
      <c r="BE94" s="37"/>
    </row>
    <row r="95" spans="2:57" s="31" customFormat="1" ht="15.5" x14ac:dyDescent="0.3">
      <c r="B95" s="165" t="s">
        <v>465</v>
      </c>
      <c r="C95" s="160"/>
      <c r="D95" s="89" t="s">
        <v>110</v>
      </c>
      <c r="G95" s="159"/>
      <c r="H95" s="84" t="s">
        <v>177</v>
      </c>
      <c r="J95" s="33" t="s">
        <v>354</v>
      </c>
      <c r="K95" s="96">
        <f>IF(ISNUMBER(L95),L95,Materiaalit!$G$23)</f>
        <v>5.0000000000000001E-3</v>
      </c>
      <c r="L95" s="40"/>
      <c r="M95" s="41" t="s">
        <v>276</v>
      </c>
      <c r="N95" s="41"/>
      <c r="O95" s="265"/>
      <c r="P95" s="41"/>
      <c r="Q95" s="52"/>
      <c r="R95" s="218" t="str">
        <f>IF(ISNUMBER(K95*V95*1000),K95*V95*1000,"")</f>
        <v/>
      </c>
      <c r="S95" s="102" t="s">
        <v>172</v>
      </c>
      <c r="T95" s="218" t="str">
        <f>IF(ISBLANK(C95),"",IF(D95="t",C95,C95*G95))</f>
        <v/>
      </c>
      <c r="U95" s="216">
        <f>Materiaalit!$I$23</f>
        <v>1.05</v>
      </c>
      <c r="V95" s="218" t="str">
        <f>IF(ISNUMBER(U95*T95),U95*T95,"")</f>
        <v/>
      </c>
      <c r="W95" s="225"/>
      <c r="X95" s="44"/>
      <c r="Y95" s="44"/>
      <c r="Z95" s="44"/>
      <c r="AA95" s="44"/>
      <c r="AB95" s="44"/>
      <c r="AC95" s="44"/>
      <c r="AD95" s="44"/>
      <c r="AE95" s="36"/>
      <c r="AF95" s="36"/>
      <c r="AG95" s="36"/>
      <c r="AH95" s="36"/>
      <c r="AI95" s="36"/>
      <c r="AJ95" s="36"/>
      <c r="AK95" s="36"/>
      <c r="AL95" s="36"/>
      <c r="AM95" s="36"/>
      <c r="AN95" s="37"/>
      <c r="AO95" s="37"/>
      <c r="AP95" s="37"/>
      <c r="AQ95" s="37"/>
      <c r="AR95" s="37"/>
      <c r="AS95" s="37"/>
      <c r="AT95" s="37"/>
      <c r="AU95" s="37"/>
      <c r="AV95" s="37"/>
      <c r="AW95" s="37"/>
      <c r="AX95" s="37"/>
      <c r="AY95" s="37"/>
      <c r="AZ95" s="37"/>
      <c r="BA95" s="37"/>
      <c r="BB95" s="37"/>
      <c r="BC95" s="37"/>
      <c r="BD95" s="37"/>
      <c r="BE95" s="37"/>
    </row>
    <row r="96" spans="2:57" s="31" customFormat="1" ht="15.5" x14ac:dyDescent="0.3">
      <c r="C96" s="34"/>
      <c r="D96" s="84"/>
      <c r="G96" s="34"/>
      <c r="H96" s="84"/>
      <c r="J96" s="33"/>
      <c r="K96" s="34"/>
      <c r="L96" s="34"/>
      <c r="M96" s="84"/>
      <c r="N96" s="84"/>
      <c r="O96" s="100"/>
      <c r="Q96" s="35"/>
      <c r="R96" s="106"/>
      <c r="S96" s="36"/>
      <c r="T96" s="44"/>
      <c r="U96" s="44"/>
      <c r="V96" s="44"/>
      <c r="W96" s="44"/>
      <c r="X96" s="44"/>
      <c r="Y96" s="44"/>
      <c r="Z96" s="44"/>
      <c r="AA96" s="44"/>
      <c r="AB96" s="44"/>
      <c r="AC96" s="44"/>
      <c r="AD96" s="44"/>
      <c r="AE96" s="36"/>
      <c r="AF96" s="36"/>
      <c r="AG96" s="36"/>
      <c r="AH96" s="36"/>
      <c r="AI96" s="36"/>
      <c r="AJ96" s="36"/>
      <c r="AK96" s="36"/>
      <c r="AL96" s="36"/>
      <c r="AM96" s="36"/>
      <c r="AN96" s="37"/>
      <c r="AO96" s="37"/>
      <c r="AP96" s="37"/>
      <c r="AQ96" s="37"/>
      <c r="AR96" s="37"/>
      <c r="AS96" s="37"/>
      <c r="AT96" s="37"/>
      <c r="AU96" s="37"/>
      <c r="AV96" s="37"/>
      <c r="AW96" s="37"/>
      <c r="AX96" s="37"/>
      <c r="AY96" s="37"/>
      <c r="AZ96" s="37"/>
      <c r="BA96" s="37"/>
      <c r="BB96" s="37"/>
      <c r="BC96" s="37"/>
      <c r="BD96" s="37"/>
      <c r="BE96" s="37"/>
    </row>
    <row r="97" spans="2:59" s="31" customFormat="1" ht="15.5" x14ac:dyDescent="0.3">
      <c r="B97" s="177" t="s">
        <v>592</v>
      </c>
      <c r="C97" s="34"/>
      <c r="D97" s="84"/>
      <c r="E97" s="59"/>
      <c r="G97" s="34"/>
      <c r="H97" s="84"/>
      <c r="J97" s="33"/>
      <c r="K97" s="42"/>
      <c r="L97" s="42"/>
      <c r="M97" s="41"/>
      <c r="N97" s="41"/>
      <c r="O97" s="265"/>
      <c r="P97" s="41"/>
      <c r="Q97" s="166"/>
      <c r="R97" s="227"/>
      <c r="S97" s="101"/>
      <c r="T97" s="227"/>
      <c r="U97" s="228"/>
      <c r="V97" s="227"/>
      <c r="W97" s="81"/>
      <c r="X97" s="228"/>
      <c r="Y97" s="228"/>
      <c r="Z97" s="228"/>
      <c r="AA97" s="228"/>
      <c r="AB97" s="228"/>
      <c r="AC97" s="228"/>
      <c r="AD97" s="228"/>
      <c r="AE97" s="55"/>
      <c r="AF97" s="55"/>
      <c r="AG97" s="55"/>
      <c r="AH97" s="55"/>
      <c r="AI97" s="55"/>
      <c r="AJ97" s="55"/>
      <c r="AK97" s="55"/>
      <c r="AL97" s="55"/>
      <c r="AM97" s="55"/>
      <c r="AN97" s="56"/>
      <c r="AO97" s="56"/>
      <c r="AP97" s="56"/>
      <c r="AQ97" s="56"/>
      <c r="AR97" s="56"/>
      <c r="AS97" s="56"/>
      <c r="AT97" s="56"/>
      <c r="AU97" s="56"/>
      <c r="AV97" s="56"/>
      <c r="AW97" s="56"/>
      <c r="AX97" s="56"/>
      <c r="AY97" s="56"/>
      <c r="AZ97" s="56"/>
      <c r="BA97" s="56"/>
      <c r="BB97" s="56"/>
      <c r="BC97" s="56"/>
      <c r="BD97" s="56"/>
      <c r="BE97" s="56"/>
    </row>
    <row r="98" spans="2:59" s="31" customFormat="1" ht="15.5" x14ac:dyDescent="0.3">
      <c r="C98" s="34"/>
      <c r="D98" s="84"/>
      <c r="G98" s="34"/>
      <c r="H98" s="84"/>
      <c r="J98" s="33"/>
      <c r="K98" s="34"/>
      <c r="L98" s="34"/>
      <c r="M98" s="84"/>
      <c r="N98" s="84"/>
      <c r="O98" s="84"/>
      <c r="Q98" s="35"/>
      <c r="R98" s="106"/>
      <c r="S98" s="36"/>
      <c r="T98" s="44"/>
      <c r="U98" s="44"/>
      <c r="V98" s="44"/>
      <c r="W98" s="44"/>
      <c r="X98" s="44"/>
      <c r="Y98" s="44"/>
      <c r="Z98" s="44"/>
      <c r="AA98" s="44"/>
      <c r="AB98" s="44"/>
      <c r="AC98" s="44"/>
      <c r="AD98" s="44"/>
      <c r="AE98" s="36"/>
      <c r="AF98" s="36"/>
      <c r="AG98" s="36"/>
      <c r="AH98" s="36"/>
      <c r="AI98" s="36"/>
      <c r="AJ98" s="36"/>
      <c r="AK98" s="36"/>
      <c r="AL98" s="36"/>
      <c r="AM98" s="36"/>
      <c r="AN98" s="37"/>
      <c r="AO98" s="37"/>
      <c r="AP98" s="37"/>
      <c r="AQ98" s="37"/>
      <c r="AR98" s="37"/>
      <c r="AS98" s="37"/>
      <c r="AT98" s="37"/>
      <c r="AU98" s="37"/>
      <c r="AV98" s="37"/>
      <c r="AW98" s="37"/>
      <c r="AX98" s="37"/>
      <c r="AY98" s="37"/>
      <c r="AZ98" s="37"/>
      <c r="BA98" s="37"/>
      <c r="BB98" s="37"/>
      <c r="BC98" s="37"/>
      <c r="BD98" s="37"/>
      <c r="BE98" s="37"/>
    </row>
    <row r="99" spans="2:59" s="298" customFormat="1" ht="18" x14ac:dyDescent="0.3">
      <c r="B99" s="295" t="s">
        <v>356</v>
      </c>
      <c r="C99" s="296"/>
      <c r="D99" s="297"/>
      <c r="G99" s="296"/>
      <c r="H99" s="297"/>
      <c r="K99" s="296"/>
      <c r="L99" s="296"/>
      <c r="M99" s="297"/>
      <c r="N99" s="297"/>
      <c r="O99" s="300"/>
      <c r="P99" s="320"/>
      <c r="Q99" s="304"/>
      <c r="S99" s="303"/>
      <c r="T99" s="303"/>
      <c r="U99" s="303"/>
      <c r="V99" s="303"/>
      <c r="W99" s="303"/>
      <c r="X99" s="303"/>
      <c r="Y99" s="303"/>
      <c r="Z99" s="303"/>
      <c r="AA99" s="303"/>
      <c r="AB99" s="303"/>
      <c r="AC99" s="303"/>
      <c r="AD99" s="303"/>
      <c r="AE99" s="303"/>
      <c r="AF99" s="303"/>
      <c r="AG99" s="303"/>
      <c r="AH99" s="303"/>
      <c r="AI99" s="303"/>
      <c r="AJ99" s="303"/>
      <c r="AK99" s="303"/>
      <c r="AL99" s="303"/>
      <c r="AM99" s="303"/>
      <c r="AN99" s="304"/>
      <c r="AO99" s="304"/>
      <c r="AP99" s="304"/>
      <c r="AQ99" s="304"/>
      <c r="AR99" s="304"/>
      <c r="AS99" s="304"/>
      <c r="AT99" s="304"/>
      <c r="AU99" s="304"/>
      <c r="AV99" s="304"/>
      <c r="AW99" s="304"/>
      <c r="AX99" s="304"/>
      <c r="AY99" s="304"/>
      <c r="AZ99" s="304"/>
      <c r="BA99" s="304"/>
      <c r="BB99" s="304"/>
      <c r="BC99" s="304"/>
      <c r="BD99" s="304"/>
      <c r="BE99" s="304"/>
    </row>
    <row r="100" spans="2:59" s="31" customFormat="1" ht="15.5" x14ac:dyDescent="0.3">
      <c r="B100" s="9"/>
      <c r="C100" s="34"/>
      <c r="D100" s="84"/>
      <c r="G100" s="38"/>
      <c r="H100" s="84"/>
      <c r="J100" s="33"/>
      <c r="K100" s="38"/>
      <c r="L100" s="38"/>
      <c r="M100" s="86"/>
      <c r="N100" s="86"/>
      <c r="O100" s="86"/>
      <c r="P100" s="38"/>
      <c r="Q100" s="35"/>
      <c r="R100" s="106"/>
      <c r="S100" s="44"/>
      <c r="T100" s="44"/>
      <c r="U100" s="44"/>
      <c r="V100" s="44"/>
      <c r="W100" s="44"/>
      <c r="X100" s="44"/>
      <c r="Y100" s="44"/>
      <c r="Z100" s="44"/>
      <c r="AA100" s="44"/>
      <c r="AB100" s="44"/>
      <c r="AC100" s="44"/>
      <c r="AD100" s="44"/>
      <c r="AE100" s="44"/>
      <c r="AF100" s="44"/>
      <c r="AG100" s="44"/>
      <c r="AH100" s="44"/>
      <c r="AI100" s="36"/>
      <c r="AJ100" s="36"/>
      <c r="AK100" s="36"/>
      <c r="AL100" s="36"/>
      <c r="AM100" s="36"/>
      <c r="AN100" s="37"/>
      <c r="AO100" s="37"/>
      <c r="AP100" s="37"/>
      <c r="AQ100" s="37"/>
      <c r="AR100" s="37"/>
      <c r="AS100" s="37"/>
      <c r="AT100" s="37"/>
      <c r="AU100" s="37"/>
      <c r="AV100" s="37"/>
      <c r="AW100" s="37"/>
      <c r="AX100" s="37"/>
      <c r="AY100" s="37"/>
      <c r="AZ100" s="37"/>
      <c r="BA100" s="37"/>
      <c r="BB100" s="37"/>
      <c r="BC100" s="37"/>
      <c r="BD100" s="37"/>
      <c r="BE100" s="37"/>
    </row>
    <row r="101" spans="2:59" s="31" customFormat="1" ht="15.5" x14ac:dyDescent="0.3">
      <c r="B101" s="95" t="str">
        <f>IF(LEFT(B91,5)="Louhe","Louhe",B91)</f>
        <v>Louhe</v>
      </c>
      <c r="C101" s="34"/>
      <c r="D101" s="84"/>
      <c r="G101" s="38" t="s">
        <v>199</v>
      </c>
      <c r="H101" s="84"/>
      <c r="I101" s="84"/>
      <c r="J101" s="33"/>
      <c r="K101" s="38" t="s">
        <v>329</v>
      </c>
      <c r="L101" s="38" t="s">
        <v>201</v>
      </c>
      <c r="M101" s="86"/>
      <c r="N101" s="86"/>
      <c r="O101" s="255" t="s">
        <v>644</v>
      </c>
      <c r="P101" s="148"/>
      <c r="Q101" s="37"/>
      <c r="R101" s="44" t="s">
        <v>350</v>
      </c>
      <c r="S101" s="44"/>
      <c r="T101" s="44" t="s">
        <v>446</v>
      </c>
      <c r="U101" s="44" t="s">
        <v>445</v>
      </c>
      <c r="V101" s="44" t="s">
        <v>443</v>
      </c>
      <c r="W101" s="44" t="s">
        <v>444</v>
      </c>
      <c r="X101" s="44" t="s">
        <v>447</v>
      </c>
      <c r="Y101" s="44" t="s">
        <v>449</v>
      </c>
      <c r="Z101" s="44" t="s">
        <v>448</v>
      </c>
      <c r="AA101" s="44" t="s">
        <v>202</v>
      </c>
      <c r="AB101" s="44" t="s">
        <v>380</v>
      </c>
      <c r="AC101" s="44" t="s">
        <v>450</v>
      </c>
      <c r="AD101" s="44" t="s">
        <v>381</v>
      </c>
      <c r="AE101" s="44" t="s">
        <v>451</v>
      </c>
      <c r="AF101" s="44" t="s">
        <v>452</v>
      </c>
      <c r="AG101" s="44" t="s">
        <v>638</v>
      </c>
      <c r="AH101" s="36" t="s">
        <v>206</v>
      </c>
      <c r="AI101" s="36" t="s">
        <v>278</v>
      </c>
      <c r="AJ101" s="36" t="s">
        <v>207</v>
      </c>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46.5" x14ac:dyDescent="0.3">
      <c r="B102" s="45" t="s">
        <v>526</v>
      </c>
      <c r="C102" s="112" t="str">
        <f>IF(ISNUMBER(C91),C91,"")</f>
        <v/>
      </c>
      <c r="D102" s="113" t="str">
        <f>D91</f>
        <v>m3itd</v>
      </c>
      <c r="G102" s="112">
        <f>IF(ISNUMBER(G91),G91,"")</f>
        <v>1.8</v>
      </c>
      <c r="H102" s="84" t="str">
        <f>IF(D102="t","t/t","t/m3")</f>
        <v>t/m3</v>
      </c>
      <c r="I102" s="84"/>
      <c r="J102" s="173" t="s">
        <v>441</v>
      </c>
      <c r="K102" s="96">
        <f>IF(ISNUMBER(L102),L102,IF(OR(C103=Pudotusvalikot!$D$14,C103=Pudotusvalikot!$D$15),Kalusto!$G$96,VLOOKUP(C103,Kalusto!$C$44:$G$83,5,FALSE))*IF(OR(C104=Pudotusvalikot!$V$3,C104=Pudotusvalikot!$V$4),Muut!$E$38,IF(C104=Pudotusvalikot!$V$5,Muut!$E$39,IF(C104=Pudotusvalikot!$V$6,Muut!$E$40,Muut!$E$41))))</f>
        <v>6.1090000000000005E-2</v>
      </c>
      <c r="L102" s="40"/>
      <c r="M102" s="41" t="s">
        <v>200</v>
      </c>
      <c r="N102" s="41"/>
      <c r="O102" s="256"/>
      <c r="P102" s="149"/>
      <c r="Q102" s="104"/>
      <c r="R102" s="218" t="str">
        <f ca="1">IF(AND(NOT(ISNUMBER(AB102)),NOT(ISNUMBER(AG102))),"",IF(ISNUMBER(AB102),AB102,0)+IF(ISNUMBER(AG102),AG102,0))</f>
        <v/>
      </c>
      <c r="S102" s="102" t="s">
        <v>172</v>
      </c>
      <c r="T102" s="216" t="str">
        <f>IF(ISNUMBER(L102),"Kohdetieto",IF(OR(C103=Pudotusvalikot!$D$14,C103=Pudotusvalikot!$D$15),Kalusto!$I$96,VLOOKUP(C103,Kalusto!$C$44:$L$83,7,FALSE)))</f>
        <v>Maansiirtoauto</v>
      </c>
      <c r="U102" s="216">
        <f>IF(ISNUMBER(L102),"Kohdetieto",IF(OR(C103=Pudotusvalikot!$D$14,C103=Pudotusvalikot!$D$15),Kalusto!$J$96,VLOOKUP(C103,Kalusto!$C$44:$L$83,8,FALSE)))</f>
        <v>32</v>
      </c>
      <c r="V102" s="217">
        <f>IF(ISNUMBER(L102),"Kohdetieto",IF(OR(C103=Pudotusvalikot!$D$14,C103=Pudotusvalikot!$D$15),Kalusto!$K$96,VLOOKUP(C103,Kalusto!$C$44:$L$83,9,FALSE)))</f>
        <v>0.8</v>
      </c>
      <c r="W102" s="217" t="str">
        <f>IF(ISNUMBER(L102),"Kohdetieto",IF(OR(C103=Pudotusvalikot!$D$14,C103=Pudotusvalikot!$D$15),Kalusto!$L$96,VLOOKUP(C103,Kalusto!$C$44:$L$83,10,FALSE)))</f>
        <v>maantieajo</v>
      </c>
      <c r="X102" s="218" t="str">
        <f>IF(ISBLANK(C102),"",IF(D102="t",C102,IF(ISNUMBER(C102*G102),C102*G102,"")))</f>
        <v/>
      </c>
      <c r="Y102" s="216" t="str">
        <f>IF(ISNUMBER(C105),C105,"")</f>
        <v/>
      </c>
      <c r="Z102" s="218" t="str">
        <f>IF(ISNUMBER(X102/(U102*V102)*Y102),X102/(U102*V102)*Y102,"")</f>
        <v/>
      </c>
      <c r="AA102" s="219">
        <f>IF(ISNUMBER(L102),L102,K102)</f>
        <v>6.1090000000000005E-2</v>
      </c>
      <c r="AB102" s="218" t="str">
        <f>IF(ISNUMBER(Y102*X102*K102),Y102*X102*K102,"")</f>
        <v/>
      </c>
      <c r="AC102" s="218" t="str">
        <f>IF(C127="Kyllä",Y102,"")</f>
        <v/>
      </c>
      <c r="AD102" s="218" t="str">
        <f>IF(C127="Kyllä",IF(ISNUMBER(X102/(U102*V102)),X102/(U102*V102),""),"")</f>
        <v/>
      </c>
      <c r="AE102" s="50" t="str">
        <f>IF(ISNUMBER(AD102*AC102),AD102*AC102,"")</f>
        <v/>
      </c>
      <c r="AF102" s="51">
        <f ca="1">IF(ISNUMBER(L103),L103,K103)</f>
        <v>0.71940999999999999</v>
      </c>
      <c r="AG102" s="50" t="str">
        <f ca="1">IF(ISNUMBER(AC102*AD102*K103),AC102*AD102*K103,"")</f>
        <v/>
      </c>
      <c r="AH102" s="48">
        <f>IF(T102="Jakelukuorma-auto",0,IF(T102="Maansiirtoauto",4,IF(T102="Puoliperävaunu",6,8)))</f>
        <v>4</v>
      </c>
      <c r="AI102" s="48">
        <f>IF(AND(T102="Jakelukuorma-auto",U102=6),0,IF(AND(T102="Jakelukuorma-auto",U102=15),2,0))</f>
        <v>0</v>
      </c>
      <c r="AJ102" s="48">
        <f>IF(W102="maantieajo",0,1)</f>
        <v>0</v>
      </c>
      <c r="AK102" s="108"/>
      <c r="AL102" s="36"/>
      <c r="AM102" s="36"/>
      <c r="AN102" s="37"/>
      <c r="AO102" s="37"/>
      <c r="AP102" s="37"/>
      <c r="AQ102" s="37"/>
      <c r="AR102" s="37"/>
      <c r="AS102" s="37"/>
      <c r="AT102" s="37"/>
      <c r="AU102" s="37"/>
      <c r="AV102" s="37"/>
      <c r="AW102" s="37"/>
      <c r="AX102" s="37"/>
      <c r="AY102" s="37"/>
      <c r="AZ102" s="37"/>
      <c r="BA102" s="37"/>
      <c r="BB102" s="37"/>
      <c r="BC102" s="37"/>
      <c r="BD102" s="37"/>
      <c r="BE102" s="37"/>
      <c r="BF102" s="108"/>
      <c r="BG102" s="108"/>
    </row>
    <row r="103" spans="2:59" s="31" customFormat="1" ht="46.5" x14ac:dyDescent="0.3">
      <c r="B103" s="170" t="s">
        <v>512</v>
      </c>
      <c r="C103" s="392" t="s">
        <v>84</v>
      </c>
      <c r="D103" s="393"/>
      <c r="E103" s="393"/>
      <c r="F103" s="393"/>
      <c r="G103" s="394"/>
      <c r="H103" s="84"/>
      <c r="I103" s="84"/>
      <c r="J103" s="33" t="s">
        <v>442</v>
      </c>
      <c r="K103" s="96">
        <f ca="1">IF(ISNUMBER(L103),L103,IF($C$140="Ei","",IF(AND($C$140="Kyllä",OR(C103=Pudotusvalikot!$D$14,C103=Pudotusvalikot!$D$15)),Kalusto!$G$97,OFFSET(Kalusto!$G$85,AH102+AJ102+AI102,0,1,1)))*IF(OR(C104=Pudotusvalikot!$V$3,C104=Pudotusvalikot!$V$4),Muut!$E$38,IF(C104=Pudotusvalikot!$V$5,Muut!$E$39,IF(C104=Pudotusvalikot!$V$6,Muut!$E$40,Muut!$E$41))))</f>
        <v>0.71940999999999999</v>
      </c>
      <c r="L103" s="40"/>
      <c r="M103" s="41" t="s">
        <v>204</v>
      </c>
      <c r="N103" s="41"/>
      <c r="O103" s="265"/>
      <c r="P103" s="147"/>
      <c r="Q103" s="105"/>
      <c r="R103" s="44"/>
      <c r="S103" s="36"/>
      <c r="T103" s="44"/>
      <c r="U103" s="44"/>
      <c r="V103" s="44"/>
      <c r="W103" s="44"/>
      <c r="X103" s="44"/>
      <c r="Y103" s="44"/>
      <c r="Z103" s="44"/>
      <c r="AA103" s="44"/>
      <c r="AB103" s="44"/>
      <c r="AC103" s="44"/>
      <c r="AD103" s="44"/>
      <c r="AE103" s="36"/>
      <c r="AF103" s="36"/>
      <c r="AG103" s="36"/>
      <c r="AH103" s="36"/>
      <c r="AI103" s="36"/>
      <c r="AJ103" s="36"/>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15.5" x14ac:dyDescent="0.3">
      <c r="B104" s="186" t="s">
        <v>506</v>
      </c>
      <c r="C104" s="160" t="s">
        <v>242</v>
      </c>
      <c r="D104" s="34"/>
      <c r="E104" s="34"/>
      <c r="F104" s="34"/>
      <c r="G104" s="34"/>
      <c r="H104" s="59"/>
      <c r="J104" s="173"/>
      <c r="K104" s="173"/>
      <c r="L104" s="173"/>
      <c r="M104" s="41"/>
      <c r="N104" s="41"/>
      <c r="O104" s="265"/>
      <c r="Q104" s="47"/>
      <c r="R104" s="232"/>
      <c r="S104" s="102"/>
      <c r="T104" s="44"/>
      <c r="U104" s="44"/>
      <c r="V104" s="220"/>
      <c r="W104" s="220"/>
      <c r="X104" s="221"/>
      <c r="Y104" s="44"/>
      <c r="Z104" s="221"/>
      <c r="AA104" s="222"/>
      <c r="AB104" s="221"/>
      <c r="AC104" s="221"/>
      <c r="AD104" s="221"/>
      <c r="AE104" s="61"/>
      <c r="AF104" s="182"/>
      <c r="AG104" s="61"/>
      <c r="AH104" s="36"/>
      <c r="AI104" s="36"/>
      <c r="AJ104" s="36"/>
      <c r="AK104" s="108"/>
      <c r="AL104" s="36"/>
      <c r="AM104" s="36"/>
      <c r="AN104" s="37"/>
      <c r="AO104" s="37"/>
      <c r="AP104" s="37"/>
      <c r="AQ104" s="37"/>
      <c r="AR104" s="37"/>
      <c r="AS104" s="37"/>
      <c r="AT104" s="37"/>
      <c r="AU104" s="37"/>
      <c r="AV104" s="37"/>
      <c r="AW104" s="37"/>
      <c r="AX104" s="37"/>
      <c r="AY104" s="37"/>
      <c r="AZ104" s="37"/>
      <c r="BA104" s="37"/>
      <c r="BB104" s="37"/>
      <c r="BC104" s="37"/>
      <c r="BD104" s="37"/>
      <c r="BE104" s="37"/>
    </row>
    <row r="105" spans="2:59" s="31" customFormat="1" ht="15.5" x14ac:dyDescent="0.3">
      <c r="B105" s="45" t="s">
        <v>525</v>
      </c>
      <c r="C105" s="162"/>
      <c r="D105" s="84" t="s">
        <v>5</v>
      </c>
      <c r="G105" s="34"/>
      <c r="H105" s="84"/>
      <c r="I105" s="84"/>
      <c r="J105" s="33"/>
      <c r="K105" s="34"/>
      <c r="L105" s="34"/>
      <c r="M105" s="84"/>
      <c r="N105" s="84"/>
      <c r="O105" s="100"/>
      <c r="P105" s="150"/>
      <c r="Q105" s="105"/>
      <c r="R105" s="44"/>
      <c r="S105" s="36"/>
      <c r="T105" s="44"/>
      <c r="U105" s="44"/>
      <c r="V105" s="44"/>
      <c r="W105" s="44"/>
      <c r="X105" s="44"/>
      <c r="Y105" s="44"/>
      <c r="Z105" s="44"/>
      <c r="AA105" s="44"/>
      <c r="AB105" s="44"/>
      <c r="AC105" s="44"/>
      <c r="AD105" s="44"/>
      <c r="AE105" s="36"/>
      <c r="AF105" s="36"/>
      <c r="AG105" s="36"/>
      <c r="AH105" s="36"/>
      <c r="AI105" s="36"/>
      <c r="AJ105" s="36"/>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15.5" x14ac:dyDescent="0.3">
      <c r="B106" s="95" t="str">
        <f>IF(LEFT(B92,6)="Murske","Murske",B92)</f>
        <v>Murske</v>
      </c>
      <c r="C106" s="34"/>
      <c r="D106" s="84"/>
      <c r="G106" s="34"/>
      <c r="H106" s="84"/>
      <c r="I106" s="84"/>
      <c r="J106" s="33"/>
      <c r="K106" s="38" t="s">
        <v>329</v>
      </c>
      <c r="L106" s="38" t="s">
        <v>201</v>
      </c>
      <c r="M106" s="86"/>
      <c r="N106" s="86"/>
      <c r="O106" s="266"/>
      <c r="P106" s="148"/>
      <c r="Q106" s="37"/>
      <c r="R106" s="44" t="s">
        <v>350</v>
      </c>
      <c r="S106" s="36"/>
      <c r="T106" s="44" t="s">
        <v>446</v>
      </c>
      <c r="U106" s="44" t="s">
        <v>445</v>
      </c>
      <c r="V106" s="44" t="s">
        <v>443</v>
      </c>
      <c r="W106" s="44" t="s">
        <v>444</v>
      </c>
      <c r="X106" s="44" t="s">
        <v>447</v>
      </c>
      <c r="Y106" s="44" t="s">
        <v>449</v>
      </c>
      <c r="Z106" s="44" t="s">
        <v>448</v>
      </c>
      <c r="AA106" s="44" t="s">
        <v>202</v>
      </c>
      <c r="AB106" s="44" t="s">
        <v>380</v>
      </c>
      <c r="AC106" s="44" t="s">
        <v>450</v>
      </c>
      <c r="AD106" s="44" t="s">
        <v>381</v>
      </c>
      <c r="AE106" s="44" t="s">
        <v>451</v>
      </c>
      <c r="AF106" s="44" t="s">
        <v>452</v>
      </c>
      <c r="AG106" s="44" t="s">
        <v>638</v>
      </c>
      <c r="AH106" s="36" t="s">
        <v>206</v>
      </c>
      <c r="AI106" s="36" t="s">
        <v>278</v>
      </c>
      <c r="AJ106" s="36" t="s">
        <v>207</v>
      </c>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46.5" x14ac:dyDescent="0.3">
      <c r="B107" s="45" t="s">
        <v>526</v>
      </c>
      <c r="C107" s="112" t="str">
        <f>IF(ISNUMBER(C92),C92,"")</f>
        <v/>
      </c>
      <c r="D107" s="113" t="str">
        <f>D92</f>
        <v>m3itd</v>
      </c>
      <c r="G107" s="112">
        <f>IF(ISNUMBER(G92),G92,"")</f>
        <v>1.6666666666666667</v>
      </c>
      <c r="H107" s="84" t="str">
        <f>IF(D107="t","t/t","t/m3")</f>
        <v>t/m3</v>
      </c>
      <c r="I107" s="84"/>
      <c r="J107" s="173" t="s">
        <v>441</v>
      </c>
      <c r="K107" s="96">
        <f>IF(ISNUMBER(L107),L107,IF(OR(C108=Pudotusvalikot!$D$14,C108=Pudotusvalikot!$D$15),Kalusto!$G$96,VLOOKUP(C108,Kalusto!$C$44:$G$83,5,FALSE))*IF(OR(C109=Pudotusvalikot!$V$3,C109=Pudotusvalikot!$V$4),Muut!$E$38,IF(C109=Pudotusvalikot!$V$5,Muut!$E$39,IF(C109=Pudotusvalikot!$V$6,Muut!$E$40,Muut!$E$41))))</f>
        <v>6.1090000000000005E-2</v>
      </c>
      <c r="L107" s="40"/>
      <c r="M107" s="41" t="s">
        <v>200</v>
      </c>
      <c r="N107" s="41"/>
      <c r="O107" s="265"/>
      <c r="P107" s="149"/>
      <c r="Q107" s="104"/>
      <c r="R107" s="218" t="str">
        <f ca="1">IF(AND(NOT(ISNUMBER(AB107)),NOT(ISNUMBER(AG107))),"",IF(ISNUMBER(AB107),AB107,0)+IF(ISNUMBER(AG107),AG107,0))</f>
        <v/>
      </c>
      <c r="S107" s="102" t="s">
        <v>172</v>
      </c>
      <c r="T107" s="216" t="str">
        <f>IF(ISNUMBER(L107),"Kohdetieto",IF(OR(C108=Pudotusvalikot!$D$14,C108=Pudotusvalikot!$D$15),Kalusto!$I$96,VLOOKUP(C108,Kalusto!$C$44:$L$83,7,FALSE)))</f>
        <v>Maansiirtoauto</v>
      </c>
      <c r="U107" s="216">
        <f>IF(ISNUMBER(L107),"Kohdetieto",IF(OR(C108=Pudotusvalikot!$D$14,C108=Pudotusvalikot!$D$15),Kalusto!$J$96,VLOOKUP(C108,Kalusto!$C$44:$L$83,8,FALSE)))</f>
        <v>32</v>
      </c>
      <c r="V107" s="217">
        <f>IF(ISNUMBER(L107),"Kohdetieto",IF(OR(C108=Pudotusvalikot!$D$14,C108=Pudotusvalikot!$D$15),Kalusto!$K$96,VLOOKUP(C108,Kalusto!$C$44:$L$83,9,FALSE)))</f>
        <v>0.8</v>
      </c>
      <c r="W107" s="217" t="str">
        <f>IF(ISNUMBER(L107),"Kohdetieto",IF(OR(C108=Pudotusvalikot!$D$14,C108=Pudotusvalikot!$D$15),Kalusto!$L$96,VLOOKUP(C108,Kalusto!$C$44:$L$83,10,FALSE)))</f>
        <v>maantieajo</v>
      </c>
      <c r="X107" s="218" t="str">
        <f>IF(ISBLANK(C107),"",IF(D107="t",C107,IF(ISNUMBER(C107*G107),C107*G107,"")))</f>
        <v/>
      </c>
      <c r="Y107" s="216" t="str">
        <f>IF(ISNUMBER(C110),C110,"")</f>
        <v/>
      </c>
      <c r="Z107" s="218" t="str">
        <f>IF(ISNUMBER(X107/(U107*V107)*Y107),X107/(U107*V107)*Y107,"")</f>
        <v/>
      </c>
      <c r="AA107" s="219">
        <f>IF(ISNUMBER(L107),L107,K107)</f>
        <v>6.1090000000000005E-2</v>
      </c>
      <c r="AB107" s="218" t="str">
        <f>IF(ISNUMBER(Y107*X107*K107),Y107*X107*K107,"")</f>
        <v/>
      </c>
      <c r="AC107" s="218" t="str">
        <f>IF(C127="Kyllä",Y107,"")</f>
        <v/>
      </c>
      <c r="AD107" s="218" t="str">
        <f>IF(C127="Kyllä",IF(ISNUMBER(X107/(U107*V107)),X107/(U107*V107),""),"")</f>
        <v/>
      </c>
      <c r="AE107" s="50" t="str">
        <f>IF(ISNUMBER(AD107*AC107),AD107*AC107,"")</f>
        <v/>
      </c>
      <c r="AF107" s="51">
        <f ca="1">IF(ISNUMBER(L108),L108,K108)</f>
        <v>0.71940999999999999</v>
      </c>
      <c r="AG107" s="50" t="str">
        <f ca="1">IF(ISNUMBER(AC107*AD107*K108),AC107*AD107*K108,"")</f>
        <v/>
      </c>
      <c r="AH107" s="48">
        <f>IF(T107="Jakelukuorma-auto",0,IF(T107="Maansiirtoauto",4,IF(T107="Puoliperävaunu",6,8)))</f>
        <v>4</v>
      </c>
      <c r="AI107" s="48">
        <f>IF(AND(T107="Jakelukuorma-auto",U107=6),0,IF(AND(T107="Jakelukuorma-auto",U107=15),2,0))</f>
        <v>0</v>
      </c>
      <c r="AJ107" s="48">
        <f>IF(W107="maantieajo",0,1)</f>
        <v>0</v>
      </c>
      <c r="AK107" s="108"/>
      <c r="AL107" s="36"/>
      <c r="AM107" s="36"/>
      <c r="AN107" s="37"/>
      <c r="AO107" s="37"/>
      <c r="AP107" s="37"/>
      <c r="AQ107" s="37"/>
      <c r="AR107" s="37"/>
      <c r="AS107" s="37"/>
      <c r="AT107" s="37"/>
      <c r="AU107" s="37"/>
      <c r="AV107" s="37"/>
      <c r="AW107" s="37"/>
      <c r="AX107" s="37"/>
      <c r="AY107" s="37"/>
      <c r="AZ107" s="37"/>
      <c r="BA107" s="37"/>
      <c r="BB107" s="37"/>
      <c r="BC107" s="37"/>
      <c r="BD107" s="37"/>
      <c r="BE107" s="37"/>
      <c r="BF107" s="108"/>
      <c r="BG107" s="108"/>
    </row>
    <row r="108" spans="2:59" s="31" customFormat="1" ht="46.5" x14ac:dyDescent="0.3">
      <c r="B108" s="170" t="s">
        <v>512</v>
      </c>
      <c r="C108" s="392" t="s">
        <v>84</v>
      </c>
      <c r="D108" s="393"/>
      <c r="E108" s="393"/>
      <c r="F108" s="393"/>
      <c r="G108" s="394"/>
      <c r="H108" s="84"/>
      <c r="I108" s="84"/>
      <c r="J108" s="33" t="s">
        <v>442</v>
      </c>
      <c r="K108" s="96">
        <f ca="1">IF(ISNUMBER(L108),L108,IF($C$140="Ei","",IF(AND($C$140="Kyllä",OR(C108=Pudotusvalikot!$D$14,C108=Pudotusvalikot!$D$15)),Kalusto!$G$97,OFFSET(Kalusto!$G$85,AH107+AJ107+AI107,0,1,1)))*IF(OR(C109=Pudotusvalikot!$V$3,C109=Pudotusvalikot!$V$4),Muut!$E$38,IF(C109=Pudotusvalikot!$V$5,Muut!$E$39,IF(C109=Pudotusvalikot!$V$6,Muut!$E$40,Muut!$E$41))))</f>
        <v>0.71940999999999999</v>
      </c>
      <c r="L108" s="40"/>
      <c r="M108" s="41" t="s">
        <v>204</v>
      </c>
      <c r="N108" s="41"/>
      <c r="O108" s="265"/>
      <c r="P108" s="147"/>
      <c r="Q108" s="105"/>
      <c r="R108" s="44"/>
      <c r="S108" s="36"/>
      <c r="T108" s="44"/>
      <c r="U108" s="44"/>
      <c r="V108" s="44"/>
      <c r="W108" s="44"/>
      <c r="X108" s="44"/>
      <c r="Y108" s="44"/>
      <c r="Z108" s="44"/>
      <c r="AA108" s="44"/>
      <c r="AB108" s="44"/>
      <c r="AC108" s="44"/>
      <c r="AD108" s="44"/>
      <c r="AE108" s="36"/>
      <c r="AF108" s="36"/>
      <c r="AG108" s="36"/>
      <c r="AH108" s="36"/>
      <c r="AI108" s="36"/>
      <c r="AJ108" s="36"/>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15.5" x14ac:dyDescent="0.3">
      <c r="B109" s="186" t="s">
        <v>506</v>
      </c>
      <c r="C109" s="160" t="s">
        <v>242</v>
      </c>
      <c r="D109" s="34"/>
      <c r="E109" s="34"/>
      <c r="F109" s="34"/>
      <c r="G109" s="34"/>
      <c r="H109" s="59"/>
      <c r="J109" s="173"/>
      <c r="K109" s="173"/>
      <c r="L109" s="173"/>
      <c r="M109" s="41"/>
      <c r="N109" s="41"/>
      <c r="O109" s="265"/>
      <c r="Q109" s="47"/>
      <c r="R109" s="232"/>
      <c r="S109" s="102"/>
      <c r="T109" s="44"/>
      <c r="U109" s="44"/>
      <c r="V109" s="220"/>
      <c r="W109" s="220"/>
      <c r="X109" s="221"/>
      <c r="Y109" s="44"/>
      <c r="Z109" s="221"/>
      <c r="AA109" s="222"/>
      <c r="AB109" s="221"/>
      <c r="AC109" s="221"/>
      <c r="AD109" s="221"/>
      <c r="AE109" s="61"/>
      <c r="AF109" s="182"/>
      <c r="AG109" s="61"/>
      <c r="AH109" s="36"/>
      <c r="AI109" s="36"/>
      <c r="AJ109" s="36"/>
      <c r="AK109" s="108"/>
      <c r="AL109" s="36"/>
      <c r="AM109" s="36"/>
      <c r="AN109" s="37"/>
      <c r="AO109" s="37"/>
      <c r="AP109" s="37"/>
      <c r="AQ109" s="37"/>
      <c r="AR109" s="37"/>
      <c r="AS109" s="37"/>
      <c r="AT109" s="37"/>
      <c r="AU109" s="37"/>
      <c r="AV109" s="37"/>
      <c r="AW109" s="37"/>
      <c r="AX109" s="37"/>
      <c r="AY109" s="37"/>
      <c r="AZ109" s="37"/>
      <c r="BA109" s="37"/>
      <c r="BB109" s="37"/>
      <c r="BC109" s="37"/>
      <c r="BD109" s="37"/>
      <c r="BE109" s="37"/>
    </row>
    <row r="110" spans="2:59" s="31" customFormat="1" ht="15.5" x14ac:dyDescent="0.3">
      <c r="B110" s="45" t="s">
        <v>525</v>
      </c>
      <c r="C110" s="162"/>
      <c r="D110" s="84" t="s">
        <v>5</v>
      </c>
      <c r="G110" s="34"/>
      <c r="H110" s="84"/>
      <c r="I110" s="84"/>
      <c r="J110" s="33"/>
      <c r="K110" s="34"/>
      <c r="L110" s="34"/>
      <c r="M110" s="84"/>
      <c r="N110" s="84"/>
      <c r="O110" s="100"/>
      <c r="P110" s="150"/>
      <c r="Q110" s="105"/>
      <c r="R110" s="44"/>
      <c r="S110" s="36"/>
      <c r="T110" s="44"/>
      <c r="U110" s="44"/>
      <c r="V110" s="44"/>
      <c r="W110" s="44"/>
      <c r="X110" s="44"/>
      <c r="Y110" s="44"/>
      <c r="Z110" s="44"/>
      <c r="AA110" s="44"/>
      <c r="AB110" s="44"/>
      <c r="AC110" s="44"/>
      <c r="AD110" s="44"/>
      <c r="AE110" s="36"/>
      <c r="AF110" s="36"/>
      <c r="AG110" s="36"/>
      <c r="AH110" s="36"/>
      <c r="AI110" s="36"/>
      <c r="AJ110" s="36"/>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15.5" x14ac:dyDescent="0.3">
      <c r="B111" s="95" t="str">
        <f>IF(LEFT(B93,4)="Sora","Sora",B93)</f>
        <v>Sora</v>
      </c>
      <c r="C111" s="34"/>
      <c r="D111" s="84"/>
      <c r="G111" s="34"/>
      <c r="H111" s="84"/>
      <c r="I111" s="84"/>
      <c r="J111" s="33"/>
      <c r="K111" s="38" t="s">
        <v>329</v>
      </c>
      <c r="L111" s="38" t="s">
        <v>201</v>
      </c>
      <c r="M111" s="86"/>
      <c r="N111" s="86"/>
      <c r="O111" s="266"/>
      <c r="P111" s="148"/>
      <c r="Q111" s="37"/>
      <c r="R111" s="44" t="s">
        <v>350</v>
      </c>
      <c r="S111" s="36"/>
      <c r="T111" s="44" t="s">
        <v>446</v>
      </c>
      <c r="U111" s="44" t="s">
        <v>445</v>
      </c>
      <c r="V111" s="44" t="s">
        <v>443</v>
      </c>
      <c r="W111" s="44" t="s">
        <v>444</v>
      </c>
      <c r="X111" s="44" t="s">
        <v>447</v>
      </c>
      <c r="Y111" s="44" t="s">
        <v>449</v>
      </c>
      <c r="Z111" s="44" t="s">
        <v>448</v>
      </c>
      <c r="AA111" s="44" t="s">
        <v>202</v>
      </c>
      <c r="AB111" s="44" t="s">
        <v>380</v>
      </c>
      <c r="AC111" s="44" t="s">
        <v>450</v>
      </c>
      <c r="AD111" s="44" t="s">
        <v>381</v>
      </c>
      <c r="AE111" s="44" t="s">
        <v>451</v>
      </c>
      <c r="AF111" s="44" t="s">
        <v>452</v>
      </c>
      <c r="AG111" s="44" t="s">
        <v>638</v>
      </c>
      <c r="AH111" s="36" t="s">
        <v>206</v>
      </c>
      <c r="AI111" s="36" t="s">
        <v>278</v>
      </c>
      <c r="AJ111" s="36" t="s">
        <v>207</v>
      </c>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46.5" x14ac:dyDescent="0.3">
      <c r="B112" s="45" t="s">
        <v>526</v>
      </c>
      <c r="C112" s="112" t="str">
        <f>IF(ISNUMBER(C93),C93,"")</f>
        <v/>
      </c>
      <c r="D112" s="113" t="str">
        <f>D93</f>
        <v>m3itd</v>
      </c>
      <c r="G112" s="112">
        <f>IF(ISNUMBER(G93),G93,"")</f>
        <v>1.6666666666666667</v>
      </c>
      <c r="H112" s="84" t="str">
        <f>IF(D112="t","t/t","t/m3")</f>
        <v>t/m3</v>
      </c>
      <c r="I112" s="84"/>
      <c r="J112" s="173" t="s">
        <v>441</v>
      </c>
      <c r="K112" s="96">
        <f>IF(ISNUMBER(L112),L112,IF(OR(C113=Pudotusvalikot!$D$14,C113=Pudotusvalikot!$D$15),Kalusto!$G$96,VLOOKUP(C113,Kalusto!$C$44:$G$83,5,FALSE))*IF(OR(C114=Pudotusvalikot!$V$3,C114=Pudotusvalikot!$V$4),Muut!$E$38,IF(C114=Pudotusvalikot!$V$5,Muut!$E$39,IF(C114=Pudotusvalikot!$V$6,Muut!$E$40,Muut!$E$41))))</f>
        <v>6.1090000000000005E-2</v>
      </c>
      <c r="L112" s="40"/>
      <c r="M112" s="41" t="s">
        <v>200</v>
      </c>
      <c r="N112" s="41"/>
      <c r="O112" s="265"/>
      <c r="P112" s="149"/>
      <c r="Q112" s="104"/>
      <c r="R112" s="218" t="str">
        <f ca="1">IF(AND(NOT(ISNUMBER(AB112)),NOT(ISNUMBER(AG112))),"",IF(ISNUMBER(AB112),AB112,0)+IF(ISNUMBER(AG112),AG112,0))</f>
        <v/>
      </c>
      <c r="S112" s="102" t="s">
        <v>172</v>
      </c>
      <c r="T112" s="216" t="str">
        <f>IF(ISNUMBER(L112),"Kohdetieto",IF(OR(C113=Pudotusvalikot!$D$14,C113=Pudotusvalikot!$D$15),Kalusto!$I$96,VLOOKUP(C113,Kalusto!$C$44:$L$83,7,FALSE)))</f>
        <v>Maansiirtoauto</v>
      </c>
      <c r="U112" s="216">
        <f>IF(ISNUMBER(L112),"Kohdetieto",IF(OR(C113=Pudotusvalikot!$D$14,C113=Pudotusvalikot!$D$15),Kalusto!$J$96,VLOOKUP(C113,Kalusto!$C$44:$L$83,8,FALSE)))</f>
        <v>32</v>
      </c>
      <c r="V112" s="217">
        <f>IF(ISNUMBER(L112),"Kohdetieto",IF(OR(C113=Pudotusvalikot!$D$14,C113=Pudotusvalikot!$D$15),Kalusto!$K$96,VLOOKUP(C113,Kalusto!$C$44:$L$83,9,FALSE)))</f>
        <v>0.8</v>
      </c>
      <c r="W112" s="217" t="str">
        <f>IF(ISNUMBER(L112),"Kohdetieto",IF(OR(C113=Pudotusvalikot!$D$14,C113=Pudotusvalikot!$D$15),Kalusto!$L$96,VLOOKUP(C113,Kalusto!$C$44:$L$83,10,FALSE)))</f>
        <v>maantieajo</v>
      </c>
      <c r="X112" s="218" t="str">
        <f>IF(ISBLANK(C112),"",IF(D112="t",C112,IF(ISNUMBER(C112*G112),C112*G112,"")))</f>
        <v/>
      </c>
      <c r="Y112" s="216" t="str">
        <f>IF(ISNUMBER(C115),C115,"")</f>
        <v/>
      </c>
      <c r="Z112" s="218" t="str">
        <f>IF(ISNUMBER(X112/(U112*V112)*Y112),X112/(U112*V112)*Y112,"")</f>
        <v/>
      </c>
      <c r="AA112" s="219">
        <f>IF(ISNUMBER(L112),L112,K112)</f>
        <v>6.1090000000000005E-2</v>
      </c>
      <c r="AB112" s="218" t="str">
        <f>IF(ISNUMBER(Y112*X112*K112),Y112*X112*K112,"")</f>
        <v/>
      </c>
      <c r="AC112" s="218" t="str">
        <f>IF(C127="Kyllä",Y112,"")</f>
        <v/>
      </c>
      <c r="AD112" s="218" t="str">
        <f>IF(C127="Kyllä",IF(ISNUMBER(X112/(U112*V112)),X112/(U112*V112),""),"")</f>
        <v/>
      </c>
      <c r="AE112" s="50" t="str">
        <f>IF(ISNUMBER(AD112*AC112),AD112*AC112,"")</f>
        <v/>
      </c>
      <c r="AF112" s="51">
        <f ca="1">IF(ISNUMBER(L113),L113,K113)</f>
        <v>0.71940999999999999</v>
      </c>
      <c r="AG112" s="50" t="str">
        <f ca="1">IF(ISNUMBER(AC112*AD112*K113),AC112*AD112*K113,"")</f>
        <v/>
      </c>
      <c r="AH112" s="48">
        <f>IF(T112="Jakelukuorma-auto",0,IF(T112="Maansiirtoauto",4,IF(T112="Puoliperävaunu",6,8)))</f>
        <v>4</v>
      </c>
      <c r="AI112" s="48">
        <f>IF(AND(T112="Jakelukuorma-auto",U112=6),0,IF(AND(T112="Jakelukuorma-auto",U112=15),2,0))</f>
        <v>0</v>
      </c>
      <c r="AJ112" s="48">
        <f>IF(W112="maantieajo",0,1)</f>
        <v>0</v>
      </c>
      <c r="AK112" s="108"/>
      <c r="AL112" s="36"/>
      <c r="AM112" s="36"/>
      <c r="AN112" s="37"/>
      <c r="AO112" s="37"/>
      <c r="AP112" s="37"/>
      <c r="AQ112" s="37"/>
      <c r="AR112" s="37"/>
      <c r="AS112" s="37"/>
      <c r="AT112" s="37"/>
      <c r="AU112" s="37"/>
      <c r="AV112" s="37"/>
      <c r="AW112" s="37"/>
      <c r="AX112" s="37"/>
      <c r="AY112" s="37"/>
      <c r="AZ112" s="37"/>
      <c r="BA112" s="37"/>
      <c r="BB112" s="37"/>
      <c r="BC112" s="37"/>
      <c r="BD112" s="37"/>
      <c r="BE112" s="37"/>
      <c r="BF112" s="108"/>
      <c r="BG112" s="108"/>
    </row>
    <row r="113" spans="2:59" s="31" customFormat="1" ht="46.5" x14ac:dyDescent="0.3">
      <c r="B113" s="170" t="s">
        <v>512</v>
      </c>
      <c r="C113" s="392" t="s">
        <v>84</v>
      </c>
      <c r="D113" s="393"/>
      <c r="E113" s="393"/>
      <c r="F113" s="393"/>
      <c r="G113" s="394"/>
      <c r="H113" s="84"/>
      <c r="I113" s="84"/>
      <c r="J113" s="33" t="s">
        <v>442</v>
      </c>
      <c r="K113" s="96">
        <f ca="1">IF(ISNUMBER(L113),L113,IF($C$140="Ei","",IF(AND($C$140="Kyllä",OR(C113=Pudotusvalikot!$D$14,C113=Pudotusvalikot!$D$15)),Kalusto!$G$97,OFFSET(Kalusto!$G$85,AH112+AJ112+AI112,0,1,1)))*IF(OR(C114=Pudotusvalikot!$V$3,C114=Pudotusvalikot!$V$4),Muut!$E$38,IF(C114=Pudotusvalikot!$V$5,Muut!$E$39,IF(C114=Pudotusvalikot!$V$6,Muut!$E$40,Muut!$E$41))))</f>
        <v>0.71940999999999999</v>
      </c>
      <c r="L113" s="40"/>
      <c r="M113" s="41" t="s">
        <v>204</v>
      </c>
      <c r="N113" s="41"/>
      <c r="O113" s="265"/>
      <c r="P113" s="147"/>
      <c r="Q113" s="105"/>
      <c r="R113" s="44"/>
      <c r="S113" s="36"/>
      <c r="T113" s="44"/>
      <c r="U113" s="44"/>
      <c r="V113" s="44"/>
      <c r="W113" s="44"/>
      <c r="X113" s="44"/>
      <c r="Y113" s="44"/>
      <c r="Z113" s="44"/>
      <c r="AA113" s="44"/>
      <c r="AB113" s="44"/>
      <c r="AC113" s="44"/>
      <c r="AD113" s="44"/>
      <c r="AE113" s="36"/>
      <c r="AF113" s="36"/>
      <c r="AG113" s="36"/>
      <c r="AH113" s="36"/>
      <c r="AI113" s="36"/>
      <c r="AJ113" s="36"/>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15.5" x14ac:dyDescent="0.3">
      <c r="B114" s="186" t="s">
        <v>506</v>
      </c>
      <c r="C114" s="160" t="s">
        <v>242</v>
      </c>
      <c r="D114" s="34"/>
      <c r="E114" s="34"/>
      <c r="F114" s="34"/>
      <c r="G114" s="34"/>
      <c r="H114" s="59"/>
      <c r="J114" s="173"/>
      <c r="K114" s="173"/>
      <c r="L114" s="173"/>
      <c r="M114" s="41"/>
      <c r="N114" s="41"/>
      <c r="O114" s="265"/>
      <c r="Q114" s="47"/>
      <c r="R114" s="232"/>
      <c r="S114" s="102"/>
      <c r="T114" s="44"/>
      <c r="U114" s="44"/>
      <c r="V114" s="220"/>
      <c r="W114" s="220"/>
      <c r="X114" s="221"/>
      <c r="Y114" s="44"/>
      <c r="Z114" s="221"/>
      <c r="AA114" s="222"/>
      <c r="AB114" s="221"/>
      <c r="AC114" s="221"/>
      <c r="AD114" s="221"/>
      <c r="AE114" s="61"/>
      <c r="AF114" s="182"/>
      <c r="AG114" s="61"/>
      <c r="AH114" s="36"/>
      <c r="AI114" s="36"/>
      <c r="AJ114" s="36"/>
      <c r="AK114" s="108"/>
      <c r="AL114" s="36"/>
      <c r="AM114" s="36"/>
      <c r="AN114" s="37"/>
      <c r="AO114" s="37"/>
      <c r="AP114" s="37"/>
      <c r="AQ114" s="37"/>
      <c r="AR114" s="37"/>
      <c r="AS114" s="37"/>
      <c r="AT114" s="37"/>
      <c r="AU114" s="37"/>
      <c r="AV114" s="37"/>
      <c r="AW114" s="37"/>
      <c r="AX114" s="37"/>
      <c r="AY114" s="37"/>
      <c r="AZ114" s="37"/>
      <c r="BA114" s="37"/>
      <c r="BB114" s="37"/>
      <c r="BC114" s="37"/>
      <c r="BD114" s="37"/>
      <c r="BE114" s="37"/>
    </row>
    <row r="115" spans="2:59" s="31" customFormat="1" ht="15.5" x14ac:dyDescent="0.3">
      <c r="B115" s="45" t="s">
        <v>525</v>
      </c>
      <c r="C115" s="162"/>
      <c r="D115" s="84" t="s">
        <v>5</v>
      </c>
      <c r="G115" s="34"/>
      <c r="H115" s="84"/>
      <c r="I115" s="84"/>
      <c r="J115" s="33"/>
      <c r="K115" s="34"/>
      <c r="L115" s="34"/>
      <c r="M115" s="84"/>
      <c r="N115" s="84"/>
      <c r="O115" s="100"/>
      <c r="P115" s="150"/>
      <c r="Q115" s="105"/>
      <c r="R115" s="44"/>
      <c r="S115" s="36"/>
      <c r="T115" s="44"/>
      <c r="U115" s="44"/>
      <c r="V115" s="44"/>
      <c r="W115" s="44"/>
      <c r="X115" s="44"/>
      <c r="Y115" s="44"/>
      <c r="Z115" s="44"/>
      <c r="AA115" s="44"/>
      <c r="AB115" s="44"/>
      <c r="AC115" s="44"/>
      <c r="AD115" s="44"/>
      <c r="AE115" s="36"/>
      <c r="AF115" s="36"/>
      <c r="AG115" s="36"/>
      <c r="AH115" s="36"/>
      <c r="AI115" s="36"/>
      <c r="AJ115" s="36"/>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15.5" x14ac:dyDescent="0.3">
      <c r="B116" s="95" t="str">
        <f>IF(LEFT(B94,6)="Hiekka","Hiekka",B94)</f>
        <v>Hiekka</v>
      </c>
      <c r="C116" s="34"/>
      <c r="D116" s="84"/>
      <c r="G116" s="34"/>
      <c r="H116" s="84"/>
      <c r="I116" s="84"/>
      <c r="J116" s="33"/>
      <c r="K116" s="38" t="s">
        <v>329</v>
      </c>
      <c r="L116" s="38" t="s">
        <v>201</v>
      </c>
      <c r="M116" s="86"/>
      <c r="N116" s="86"/>
      <c r="O116" s="266"/>
      <c r="P116" s="148"/>
      <c r="Q116" s="37"/>
      <c r="R116" s="44" t="s">
        <v>350</v>
      </c>
      <c r="S116" s="36"/>
      <c r="T116" s="44" t="s">
        <v>446</v>
      </c>
      <c r="U116" s="44" t="s">
        <v>445</v>
      </c>
      <c r="V116" s="44" t="s">
        <v>443</v>
      </c>
      <c r="W116" s="44" t="s">
        <v>444</v>
      </c>
      <c r="X116" s="44" t="s">
        <v>447</v>
      </c>
      <c r="Y116" s="44" t="s">
        <v>449</v>
      </c>
      <c r="Z116" s="44" t="s">
        <v>448</v>
      </c>
      <c r="AA116" s="44" t="s">
        <v>202</v>
      </c>
      <c r="AB116" s="44" t="s">
        <v>380</v>
      </c>
      <c r="AC116" s="44" t="s">
        <v>450</v>
      </c>
      <c r="AD116" s="44" t="s">
        <v>381</v>
      </c>
      <c r="AE116" s="44" t="s">
        <v>451</v>
      </c>
      <c r="AF116" s="44" t="s">
        <v>452</v>
      </c>
      <c r="AG116" s="44" t="s">
        <v>638</v>
      </c>
      <c r="AH116" s="36" t="s">
        <v>206</v>
      </c>
      <c r="AI116" s="36" t="s">
        <v>278</v>
      </c>
      <c r="AJ116" s="36" t="s">
        <v>207</v>
      </c>
      <c r="AK116" s="108"/>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46.5" x14ac:dyDescent="0.3">
      <c r="B117" s="45" t="s">
        <v>526</v>
      </c>
      <c r="C117" s="112" t="str">
        <f>IF(ISNUMBER(C94),C94,"")</f>
        <v/>
      </c>
      <c r="D117" s="113" t="str">
        <f>D94</f>
        <v>m3itd</v>
      </c>
      <c r="G117" s="112">
        <f>IF(ISNUMBER(G94),G94,"")</f>
        <v>1.4285714285714286</v>
      </c>
      <c r="H117" s="84" t="str">
        <f>IF(D117="t","t/t","t/m3")</f>
        <v>t/m3</v>
      </c>
      <c r="I117" s="84"/>
      <c r="J117" s="173" t="s">
        <v>441</v>
      </c>
      <c r="K117" s="96">
        <f>IF(ISNUMBER(L117),L117,IF(OR(C118=Pudotusvalikot!$D$14,C118=Pudotusvalikot!$D$15),Kalusto!$G$96,VLOOKUP(C118,Kalusto!$C$44:$G$83,5,FALSE))*IF(OR(C119=Pudotusvalikot!$V$3,C119=Pudotusvalikot!$V$4),Muut!$E$38,IF(C119=Pudotusvalikot!$V$5,Muut!$E$39,IF(C119=Pudotusvalikot!$V$6,Muut!$E$40,Muut!$E$41))))</f>
        <v>6.1090000000000005E-2</v>
      </c>
      <c r="L117" s="40"/>
      <c r="M117" s="41" t="s">
        <v>200</v>
      </c>
      <c r="N117" s="41"/>
      <c r="O117" s="265"/>
      <c r="P117" s="149"/>
      <c r="Q117" s="104"/>
      <c r="R117" s="218" t="str">
        <f ca="1">IF(AND(NOT(ISNUMBER(AB117)),NOT(ISNUMBER(AG117))),"",IF(ISNUMBER(AB117),AB117,0)+IF(ISNUMBER(AG117),AG117,0))</f>
        <v/>
      </c>
      <c r="S117" s="102" t="s">
        <v>172</v>
      </c>
      <c r="T117" s="216" t="str">
        <f>IF(ISNUMBER(L117),"Kohdetieto",IF(OR(C118=Pudotusvalikot!$D$14,C118=Pudotusvalikot!$D$15),Kalusto!$I$96,VLOOKUP(C118,Kalusto!$C$44:$L$83,7,FALSE)))</f>
        <v>Maansiirtoauto</v>
      </c>
      <c r="U117" s="216">
        <f>IF(ISNUMBER(L117),"Kohdetieto",IF(OR(C118=Pudotusvalikot!$D$14,C118=Pudotusvalikot!$D$15),Kalusto!$J$96,VLOOKUP(C118,Kalusto!$C$44:$L$83,8,FALSE)))</f>
        <v>32</v>
      </c>
      <c r="V117" s="217">
        <f>IF(ISNUMBER(L117),"Kohdetieto",IF(OR(C118=Pudotusvalikot!$D$14,C118=Pudotusvalikot!$D$15),Kalusto!$K$96,VLOOKUP(C118,Kalusto!$C$44:$L$83,9,FALSE)))</f>
        <v>0.8</v>
      </c>
      <c r="W117" s="217" t="str">
        <f>IF(ISNUMBER(L117),"Kohdetieto",IF(OR(C118=Pudotusvalikot!$D$14,C118=Pudotusvalikot!$D$15),Kalusto!$L$96,VLOOKUP(C118,Kalusto!$C$44:$L$83,10,FALSE)))</f>
        <v>maantieajo</v>
      </c>
      <c r="X117" s="218" t="str">
        <f>IF(ISBLANK(C117),"",IF(D117="t",C117,IF(ISNUMBER(C117*G117),C117*G117,"")))</f>
        <v/>
      </c>
      <c r="Y117" s="216" t="str">
        <f>IF(ISNUMBER(C120),C120,"")</f>
        <v/>
      </c>
      <c r="Z117" s="218" t="str">
        <f>IF(ISNUMBER(X117/(U117*V117)*Y117),X117/(U117*V117)*Y117,"")</f>
        <v/>
      </c>
      <c r="AA117" s="219">
        <f>IF(ISNUMBER(L117),L117,K117)</f>
        <v>6.1090000000000005E-2</v>
      </c>
      <c r="AB117" s="218" t="str">
        <f>IF(ISNUMBER(Y117*X117*K117),Y117*X117*K117,"")</f>
        <v/>
      </c>
      <c r="AC117" s="218" t="str">
        <f>IF(C127="Kyllä",Y117,"")</f>
        <v/>
      </c>
      <c r="AD117" s="218" t="str">
        <f>IF(C127="Kyllä",IF(ISNUMBER(X117/(U117*V117)),X117/(U117*V117),""),"")</f>
        <v/>
      </c>
      <c r="AE117" s="50" t="str">
        <f>IF(ISNUMBER(AD117*AC117),AD117*AC117,"")</f>
        <v/>
      </c>
      <c r="AF117" s="51">
        <f ca="1">IF(ISNUMBER(L118),L118,K118)</f>
        <v>0.71940999999999999</v>
      </c>
      <c r="AG117" s="50" t="str">
        <f ca="1">IF(ISNUMBER(AC117*AD117*K118),AC117*AD117*K118,"")</f>
        <v/>
      </c>
      <c r="AH117" s="48">
        <f>IF(T117="Jakelukuorma-auto",0,IF(T117="Maansiirtoauto",4,IF(T117="Puoliperävaunu",6,8)))</f>
        <v>4</v>
      </c>
      <c r="AI117" s="48">
        <f>IF(AND(T117="Jakelukuorma-auto",U117=6),0,IF(AND(T117="Jakelukuorma-auto",U117=15),2,0))</f>
        <v>0</v>
      </c>
      <c r="AJ117" s="48">
        <f>IF(W117="maantieajo",0,1)</f>
        <v>0</v>
      </c>
      <c r="AK117" s="108"/>
      <c r="AL117" s="36"/>
      <c r="AM117" s="36"/>
      <c r="AN117" s="37"/>
      <c r="AO117" s="37"/>
      <c r="AP117" s="37"/>
      <c r="AQ117" s="37"/>
      <c r="AR117" s="37"/>
      <c r="AS117" s="37"/>
      <c r="AT117" s="37"/>
      <c r="AU117" s="37"/>
      <c r="AV117" s="37"/>
      <c r="AW117" s="37"/>
      <c r="AX117" s="37"/>
      <c r="AY117" s="37"/>
      <c r="AZ117" s="37"/>
      <c r="BA117" s="37"/>
      <c r="BB117" s="37"/>
      <c r="BC117" s="37"/>
      <c r="BD117" s="37"/>
      <c r="BE117" s="37"/>
      <c r="BF117" s="108"/>
      <c r="BG117" s="108"/>
    </row>
    <row r="118" spans="2:59" s="31" customFormat="1" ht="46.5" x14ac:dyDescent="0.3">
      <c r="B118" s="170" t="s">
        <v>512</v>
      </c>
      <c r="C118" s="392" t="s">
        <v>84</v>
      </c>
      <c r="D118" s="393"/>
      <c r="E118" s="393"/>
      <c r="F118" s="393"/>
      <c r="G118" s="394"/>
      <c r="H118" s="84"/>
      <c r="I118" s="84"/>
      <c r="J118" s="33" t="s">
        <v>442</v>
      </c>
      <c r="K118" s="96">
        <f ca="1">IF(ISNUMBER(L118),L118,IF($C$140="Ei","",IF(AND($C$140="Kyllä",OR(C118=Pudotusvalikot!$D$14,C118=Pudotusvalikot!$D$15)),Kalusto!$G$97,OFFSET(Kalusto!$G$85,AH117+AJ117+AI117,0,1,1)))*IF(OR(C119=Pudotusvalikot!$V$3,C119=Pudotusvalikot!$V$4),Muut!$E$38,IF(C119=Pudotusvalikot!$V$5,Muut!$E$39,IF(C119=Pudotusvalikot!$V$6,Muut!$E$40,Muut!$E$41))))</f>
        <v>0.71940999999999999</v>
      </c>
      <c r="L118" s="40"/>
      <c r="M118" s="41" t="s">
        <v>204</v>
      </c>
      <c r="N118" s="41"/>
      <c r="O118" s="265"/>
      <c r="P118" s="147"/>
      <c r="Q118" s="105"/>
      <c r="R118" s="44"/>
      <c r="S118" s="36"/>
      <c r="T118" s="44"/>
      <c r="U118" s="44"/>
      <c r="V118" s="44"/>
      <c r="W118" s="44"/>
      <c r="X118" s="44"/>
      <c r="Y118" s="44"/>
      <c r="Z118" s="44"/>
      <c r="AA118" s="44"/>
      <c r="AB118" s="44"/>
      <c r="AC118" s="44"/>
      <c r="AD118" s="44"/>
      <c r="AE118" s="36"/>
      <c r="AF118" s="36"/>
      <c r="AG118" s="36"/>
      <c r="AH118" s="36"/>
      <c r="AI118" s="36"/>
      <c r="AJ118" s="36"/>
      <c r="AK118" s="108"/>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15.5" x14ac:dyDescent="0.3">
      <c r="B119" s="186" t="s">
        <v>506</v>
      </c>
      <c r="C119" s="160" t="s">
        <v>242</v>
      </c>
      <c r="D119" s="34"/>
      <c r="E119" s="34"/>
      <c r="F119" s="34"/>
      <c r="G119" s="34"/>
      <c r="H119" s="59"/>
      <c r="J119" s="173"/>
      <c r="K119" s="173"/>
      <c r="L119" s="173"/>
      <c r="M119" s="41"/>
      <c r="N119" s="41"/>
      <c r="O119" s="265"/>
      <c r="Q119" s="47"/>
      <c r="R119" s="232"/>
      <c r="S119" s="102"/>
      <c r="T119" s="44"/>
      <c r="U119" s="44"/>
      <c r="V119" s="220"/>
      <c r="W119" s="220"/>
      <c r="X119" s="221"/>
      <c r="Y119" s="44"/>
      <c r="Z119" s="221"/>
      <c r="AA119" s="222"/>
      <c r="AB119" s="221"/>
      <c r="AC119" s="221"/>
      <c r="AD119" s="221"/>
      <c r="AE119" s="61"/>
      <c r="AF119" s="182"/>
      <c r="AG119" s="61"/>
      <c r="AH119" s="36"/>
      <c r="AI119" s="36"/>
      <c r="AJ119" s="36"/>
      <c r="AK119" s="108"/>
      <c r="AL119" s="36"/>
      <c r="AM119" s="36"/>
      <c r="AN119" s="37"/>
      <c r="AO119" s="37"/>
      <c r="AP119" s="37"/>
      <c r="AQ119" s="37"/>
      <c r="AR119" s="37"/>
      <c r="AS119" s="37"/>
      <c r="AT119" s="37"/>
      <c r="AU119" s="37"/>
      <c r="AV119" s="37"/>
      <c r="AW119" s="37"/>
      <c r="AX119" s="37"/>
      <c r="AY119" s="37"/>
      <c r="AZ119" s="37"/>
      <c r="BA119" s="37"/>
      <c r="BB119" s="37"/>
      <c r="BC119" s="37"/>
      <c r="BD119" s="37"/>
      <c r="BE119" s="37"/>
    </row>
    <row r="120" spans="2:59" s="31" customFormat="1" ht="15.5" x14ac:dyDescent="0.3">
      <c r="B120" s="45" t="s">
        <v>525</v>
      </c>
      <c r="C120" s="162"/>
      <c r="D120" s="84" t="s">
        <v>5</v>
      </c>
      <c r="G120" s="34"/>
      <c r="H120" s="84"/>
      <c r="I120" s="84"/>
      <c r="J120" s="33"/>
      <c r="K120" s="34"/>
      <c r="L120" s="34"/>
      <c r="M120" s="84"/>
      <c r="N120" s="84"/>
      <c r="O120" s="100"/>
      <c r="P120" s="150"/>
      <c r="Q120" s="105"/>
      <c r="R120" s="44"/>
      <c r="S120" s="36"/>
      <c r="T120" s="44"/>
      <c r="U120" s="44"/>
      <c r="V120" s="44"/>
      <c r="W120" s="44"/>
      <c r="X120" s="44"/>
      <c r="Y120" s="44"/>
      <c r="Z120" s="44"/>
      <c r="AA120" s="44"/>
      <c r="AB120" s="44"/>
      <c r="AC120" s="44"/>
      <c r="AD120" s="44"/>
      <c r="AE120" s="36"/>
      <c r="AF120" s="36"/>
      <c r="AG120" s="36"/>
      <c r="AH120" s="36"/>
      <c r="AI120" s="36"/>
      <c r="AJ120" s="36"/>
      <c r="AK120" s="108"/>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15.5" x14ac:dyDescent="0.3">
      <c r="B121" s="95" t="str">
        <f>B95</f>
        <v>Maa-aineksen 5 kuvaus (valitse yksikkö ja mahdollinen muuntokerroin tonneiksi)</v>
      </c>
      <c r="C121" s="34"/>
      <c r="D121" s="84"/>
      <c r="G121" s="34"/>
      <c r="H121" s="84"/>
      <c r="I121" s="84"/>
      <c r="J121" s="33"/>
      <c r="K121" s="38" t="s">
        <v>329</v>
      </c>
      <c r="L121" s="38" t="s">
        <v>201</v>
      </c>
      <c r="M121" s="86"/>
      <c r="N121" s="86"/>
      <c r="O121" s="266"/>
      <c r="P121" s="148"/>
      <c r="Q121" s="37"/>
      <c r="R121" s="44" t="s">
        <v>350</v>
      </c>
      <c r="S121" s="36"/>
      <c r="T121" s="44" t="s">
        <v>446</v>
      </c>
      <c r="U121" s="44" t="s">
        <v>445</v>
      </c>
      <c r="V121" s="44" t="s">
        <v>443</v>
      </c>
      <c r="W121" s="44" t="s">
        <v>444</v>
      </c>
      <c r="X121" s="44" t="s">
        <v>447</v>
      </c>
      <c r="Y121" s="44" t="s">
        <v>449</v>
      </c>
      <c r="Z121" s="44" t="s">
        <v>448</v>
      </c>
      <c r="AA121" s="44" t="s">
        <v>202</v>
      </c>
      <c r="AB121" s="44" t="s">
        <v>380</v>
      </c>
      <c r="AC121" s="44" t="s">
        <v>450</v>
      </c>
      <c r="AD121" s="44" t="s">
        <v>381</v>
      </c>
      <c r="AE121" s="44" t="s">
        <v>451</v>
      </c>
      <c r="AF121" s="44" t="s">
        <v>452</v>
      </c>
      <c r="AG121" s="44" t="s">
        <v>638</v>
      </c>
      <c r="AH121" s="36" t="s">
        <v>206</v>
      </c>
      <c r="AI121" s="36" t="s">
        <v>278</v>
      </c>
      <c r="AJ121" s="36" t="s">
        <v>207</v>
      </c>
      <c r="AK121" s="108"/>
      <c r="AL121" s="36"/>
      <c r="AM121" s="36"/>
      <c r="AN121" s="37"/>
      <c r="AO121" s="37"/>
      <c r="AP121" s="37"/>
      <c r="AQ121" s="37"/>
      <c r="AR121" s="37"/>
      <c r="AS121" s="37"/>
      <c r="AT121" s="37"/>
      <c r="AU121" s="37"/>
      <c r="AV121" s="37"/>
      <c r="AW121" s="37"/>
      <c r="AX121" s="37"/>
      <c r="AY121" s="37"/>
      <c r="AZ121" s="37"/>
      <c r="BA121" s="37"/>
      <c r="BB121" s="37"/>
      <c r="BC121" s="37"/>
      <c r="BD121" s="37"/>
      <c r="BE121" s="37"/>
      <c r="BF121" s="108"/>
      <c r="BG121" s="108"/>
    </row>
    <row r="122" spans="2:59" s="31" customFormat="1" ht="46.5" x14ac:dyDescent="0.3">
      <c r="B122" s="45" t="s">
        <v>528</v>
      </c>
      <c r="C122" s="112" t="str">
        <f>IF(ISNUMBER(C95),C95,"")</f>
        <v/>
      </c>
      <c r="D122" s="113" t="str">
        <f>D95</f>
        <v>m3itd</v>
      </c>
      <c r="G122" s="112" t="str">
        <f>IF(ISNUMBER(G95),G95,"")</f>
        <v/>
      </c>
      <c r="H122" s="84" t="str">
        <f>IF(D122="t","t/t","t/m3")</f>
        <v>t/m3</v>
      </c>
      <c r="I122" s="84"/>
      <c r="J122" s="173" t="s">
        <v>441</v>
      </c>
      <c r="K122" s="96">
        <f>IF(ISNUMBER(L122),L122,IF(OR(C123=Pudotusvalikot!$D$14,C123=Pudotusvalikot!$D$15),Kalusto!$G$96,VLOOKUP(C123,Kalusto!$C$44:$G$83,5,FALSE))*IF(OR(C124=Pudotusvalikot!$V$3,C124=Pudotusvalikot!$V$4),Muut!$E$38,IF(C124=Pudotusvalikot!$V$5,Muut!$E$39,IF(C124=Pudotusvalikot!$V$6,Muut!$E$40,Muut!$E$41))))</f>
        <v>6.1090000000000005E-2</v>
      </c>
      <c r="L122" s="40"/>
      <c r="M122" s="41" t="s">
        <v>200</v>
      </c>
      <c r="N122" s="41"/>
      <c r="O122" s="265"/>
      <c r="P122" s="149"/>
      <c r="Q122" s="104"/>
      <c r="R122" s="218" t="str">
        <f ca="1">IF(AND(NOT(ISNUMBER(AB122)),NOT(ISNUMBER(AG122))),"",IF(ISNUMBER(AB122),AB122,0)+IF(ISNUMBER(AG122),AG122,0))</f>
        <v/>
      </c>
      <c r="S122" s="102" t="s">
        <v>172</v>
      </c>
      <c r="T122" s="216" t="str">
        <f>IF(ISNUMBER(L122),"Kohdetieto",IF(OR(C123=Pudotusvalikot!$D$14,C123=Pudotusvalikot!$D$15),Kalusto!$I$96,VLOOKUP(C123,Kalusto!$C$44:$L$83,7,FALSE)))</f>
        <v>Maansiirtoauto</v>
      </c>
      <c r="U122" s="216">
        <f>IF(ISNUMBER(L122),"Kohdetieto",IF(OR(C123=Pudotusvalikot!$D$14,C123=Pudotusvalikot!$D$15),Kalusto!$J$96,VLOOKUP(C123,Kalusto!$C$44:$L$83,8,FALSE)))</f>
        <v>32</v>
      </c>
      <c r="V122" s="217">
        <f>IF(ISNUMBER(L122),"Kohdetieto",IF(OR(C123=Pudotusvalikot!$D$14,C123=Pudotusvalikot!$D$15),Kalusto!$K$96,VLOOKUP(C123,Kalusto!$C$44:$L$83,9,FALSE)))</f>
        <v>0.8</v>
      </c>
      <c r="W122" s="217" t="str">
        <f>IF(ISNUMBER(L122),"Kohdetieto",IF(OR(C123=Pudotusvalikot!$D$14,C123=Pudotusvalikot!$D$15),Kalusto!$L$96,VLOOKUP(C123,Kalusto!$C$44:$L$83,10,FALSE)))</f>
        <v>maantieajo</v>
      </c>
      <c r="X122" s="218" t="str">
        <f>IF(ISBLANK(C122),"",IF(D122="t",C122,IF(ISNUMBER(C122*G122),C122*G122,"")))</f>
        <v/>
      </c>
      <c r="Y122" s="216" t="str">
        <f>IF(ISNUMBER(C125),C125,"")</f>
        <v/>
      </c>
      <c r="Z122" s="218" t="str">
        <f>IF(ISNUMBER(X122/(U122*V122)*Y122),X122/(U122*V122)*Y122,"")</f>
        <v/>
      </c>
      <c r="AA122" s="219">
        <f>IF(ISNUMBER(L122),L122,K122)</f>
        <v>6.1090000000000005E-2</v>
      </c>
      <c r="AB122" s="218" t="str">
        <f>IF(ISNUMBER(Y122*X122*K122),Y122*X122*K122,"")</f>
        <v/>
      </c>
      <c r="AC122" s="218" t="str">
        <f>IF(C127="Kyllä",Y122,"")</f>
        <v/>
      </c>
      <c r="AD122" s="218" t="str">
        <f>IF(C127="Kyllä",IF(ISNUMBER(X122/(U122*V122)),X122/(U122*V122),""),"")</f>
        <v/>
      </c>
      <c r="AE122" s="50" t="str">
        <f>IF(ISNUMBER(AD122*AC122),AD122*AC122,"")</f>
        <v/>
      </c>
      <c r="AF122" s="51">
        <f ca="1">IF(ISNUMBER(L123),L123,K123)</f>
        <v>0.71940999999999999</v>
      </c>
      <c r="AG122" s="50" t="str">
        <f ca="1">IF(ISNUMBER(AC122*AD122*K123),AC122*AD122*K123,"")</f>
        <v/>
      </c>
      <c r="AH122" s="48">
        <f>IF(T122="Jakelukuorma-auto",0,IF(T122="Maansiirtoauto",4,IF(T122="Puoliperävaunu",6,8)))</f>
        <v>4</v>
      </c>
      <c r="AI122" s="48">
        <f>IF(AND(T122="Jakelukuorma-auto",U122=6),0,IF(AND(T122="Jakelukuorma-auto",U122=15),2,0))</f>
        <v>0</v>
      </c>
      <c r="AJ122" s="48">
        <f>IF(W122="maantieajo",0,1)</f>
        <v>0</v>
      </c>
      <c r="AK122" s="108"/>
      <c r="AL122" s="36"/>
      <c r="AM122" s="36"/>
      <c r="AN122" s="37"/>
      <c r="AO122" s="37"/>
      <c r="AP122" s="37"/>
      <c r="AQ122" s="37"/>
      <c r="AR122" s="37"/>
      <c r="AS122" s="37"/>
      <c r="AT122" s="37"/>
      <c r="AU122" s="37"/>
      <c r="AV122" s="37"/>
      <c r="AW122" s="37"/>
      <c r="AX122" s="37"/>
      <c r="AY122" s="37"/>
      <c r="AZ122" s="37"/>
      <c r="BA122" s="37"/>
      <c r="BB122" s="37"/>
      <c r="BC122" s="37"/>
      <c r="BD122" s="37"/>
      <c r="BE122" s="37"/>
      <c r="BF122" s="108"/>
      <c r="BG122" s="108"/>
    </row>
    <row r="123" spans="2:59" s="31" customFormat="1" ht="46.5" x14ac:dyDescent="0.3">
      <c r="B123" s="170" t="s">
        <v>512</v>
      </c>
      <c r="C123" s="392" t="s">
        <v>84</v>
      </c>
      <c r="D123" s="393"/>
      <c r="E123" s="393"/>
      <c r="F123" s="393"/>
      <c r="G123" s="394"/>
      <c r="H123" s="84"/>
      <c r="I123" s="84"/>
      <c r="J123" s="33" t="s">
        <v>442</v>
      </c>
      <c r="K123" s="96">
        <f ca="1">IF(ISNUMBER(L123),L123,IF($C$140="Ei","",IF(AND($C$140="Kyllä",OR(C123=Pudotusvalikot!$D$14,C123=Pudotusvalikot!$D$15)),Kalusto!$G$97,OFFSET(Kalusto!$G$85,AH122+AJ122+AI122,0,1,1)))*IF(OR(C124=Pudotusvalikot!$V$3,C124=Pudotusvalikot!$V$4),Muut!$E$38,IF(C124=Pudotusvalikot!$V$5,Muut!$E$39,IF(C124=Pudotusvalikot!$V$6,Muut!$E$40,Muut!$E$41))))</f>
        <v>0.71940999999999999</v>
      </c>
      <c r="L123" s="40"/>
      <c r="M123" s="41" t="s">
        <v>204</v>
      </c>
      <c r="N123" s="41"/>
      <c r="O123" s="265"/>
      <c r="P123" s="147"/>
      <c r="Q123" s="105"/>
      <c r="R123" s="106"/>
      <c r="S123" s="36"/>
      <c r="T123" s="44"/>
      <c r="U123" s="44"/>
      <c r="V123" s="44"/>
      <c r="W123" s="44"/>
      <c r="X123" s="44"/>
      <c r="Y123" s="44"/>
      <c r="Z123" s="44"/>
      <c r="AA123" s="44"/>
      <c r="AB123" s="44"/>
      <c r="AC123" s="44"/>
      <c r="AD123" s="44"/>
      <c r="AE123" s="36"/>
      <c r="AF123" s="36"/>
      <c r="AG123" s="36"/>
      <c r="AH123" s="36"/>
      <c r="AI123" s="36"/>
      <c r="AJ123" s="36"/>
      <c r="AK123" s="36"/>
      <c r="AL123" s="36"/>
      <c r="AM123" s="36"/>
      <c r="AN123" s="37"/>
      <c r="AO123" s="37"/>
      <c r="AP123" s="37"/>
      <c r="AQ123" s="37"/>
      <c r="AR123" s="37"/>
      <c r="AS123" s="37"/>
      <c r="AT123" s="37"/>
      <c r="AU123" s="37"/>
      <c r="AV123" s="37"/>
      <c r="AW123" s="37"/>
      <c r="AX123" s="37"/>
      <c r="AY123" s="37"/>
      <c r="AZ123" s="37"/>
      <c r="BA123" s="37"/>
      <c r="BB123" s="37"/>
      <c r="BC123" s="37"/>
      <c r="BD123" s="37"/>
      <c r="BE123" s="37"/>
      <c r="BF123" s="108"/>
      <c r="BG123" s="108"/>
    </row>
    <row r="124" spans="2:59" s="31" customFormat="1" ht="15.5" x14ac:dyDescent="0.3">
      <c r="B124" s="186" t="s">
        <v>506</v>
      </c>
      <c r="C124" s="160" t="s">
        <v>242</v>
      </c>
      <c r="D124" s="34"/>
      <c r="E124" s="34"/>
      <c r="F124" s="34"/>
      <c r="G124" s="34"/>
      <c r="H124" s="59"/>
      <c r="J124" s="173"/>
      <c r="K124" s="173"/>
      <c r="L124" s="173"/>
      <c r="M124" s="41"/>
      <c r="N124" s="41"/>
      <c r="O124" s="265"/>
      <c r="Q124" s="47"/>
      <c r="R124" s="232"/>
      <c r="S124" s="102"/>
      <c r="T124" s="44"/>
      <c r="U124" s="44"/>
      <c r="V124" s="220"/>
      <c r="W124" s="220"/>
      <c r="X124" s="221"/>
      <c r="Y124" s="44"/>
      <c r="Z124" s="221"/>
      <c r="AA124" s="222"/>
      <c r="AB124" s="221"/>
      <c r="AC124" s="221"/>
      <c r="AD124" s="221"/>
      <c r="AE124" s="61"/>
      <c r="AF124" s="182"/>
      <c r="AG124" s="61"/>
      <c r="AH124" s="36"/>
      <c r="AI124" s="36"/>
      <c r="AJ124" s="36"/>
      <c r="AK124" s="108"/>
      <c r="AL124" s="36"/>
      <c r="AM124" s="36"/>
      <c r="AN124" s="37"/>
      <c r="AO124" s="37"/>
      <c r="AP124" s="37"/>
      <c r="AQ124" s="37"/>
      <c r="AR124" s="37"/>
      <c r="AS124" s="37"/>
      <c r="AT124" s="37"/>
      <c r="AU124" s="37"/>
      <c r="AV124" s="37"/>
      <c r="AW124" s="37"/>
      <c r="AX124" s="37"/>
      <c r="AY124" s="37"/>
      <c r="AZ124" s="37"/>
      <c r="BA124" s="37"/>
      <c r="BB124" s="37"/>
      <c r="BC124" s="37"/>
      <c r="BD124" s="37"/>
      <c r="BE124" s="37"/>
    </row>
    <row r="125" spans="2:59" s="31" customFormat="1" ht="15.5" x14ac:dyDescent="0.3">
      <c r="B125" s="45" t="s">
        <v>525</v>
      </c>
      <c r="C125" s="162"/>
      <c r="D125" s="84" t="s">
        <v>5</v>
      </c>
      <c r="G125" s="34"/>
      <c r="H125" s="84"/>
      <c r="I125" s="84"/>
      <c r="J125" s="33"/>
      <c r="K125" s="34"/>
      <c r="L125" s="34"/>
      <c r="M125" s="84"/>
      <c r="N125" s="84"/>
      <c r="O125" s="100"/>
      <c r="P125" s="150"/>
      <c r="Q125" s="105"/>
      <c r="R125" s="106"/>
      <c r="S125" s="36"/>
      <c r="T125" s="44"/>
      <c r="U125" s="44"/>
      <c r="V125" s="44"/>
      <c r="W125" s="44"/>
      <c r="X125" s="44"/>
      <c r="Y125" s="44"/>
      <c r="Z125" s="44"/>
      <c r="AA125" s="44"/>
      <c r="AB125" s="44"/>
      <c r="AC125" s="44"/>
      <c r="AD125" s="44"/>
      <c r="AE125" s="36"/>
      <c r="AF125" s="36"/>
      <c r="AG125" s="36"/>
      <c r="AH125" s="36"/>
      <c r="AI125" s="36"/>
      <c r="AJ125" s="36"/>
      <c r="AK125" s="36"/>
      <c r="AL125" s="36"/>
      <c r="AM125" s="36"/>
      <c r="AN125" s="37"/>
      <c r="AO125" s="37"/>
      <c r="AP125" s="37"/>
      <c r="AQ125" s="37"/>
      <c r="AR125" s="37"/>
      <c r="AS125" s="37"/>
      <c r="AT125" s="37"/>
      <c r="AU125" s="37"/>
      <c r="AV125" s="37"/>
      <c r="AW125" s="37"/>
      <c r="AX125" s="37"/>
      <c r="AY125" s="37"/>
      <c r="AZ125" s="37"/>
      <c r="BA125" s="37"/>
      <c r="BB125" s="37"/>
      <c r="BC125" s="37"/>
      <c r="BD125" s="37"/>
      <c r="BE125" s="37"/>
      <c r="BF125" s="108"/>
      <c r="BG125" s="108"/>
    </row>
    <row r="126" spans="2:59" s="31" customFormat="1" ht="15.5" x14ac:dyDescent="0.3">
      <c r="C126" s="34"/>
      <c r="D126" s="84"/>
      <c r="G126" s="34"/>
      <c r="H126" s="84"/>
      <c r="I126" s="84"/>
      <c r="J126" s="33"/>
      <c r="K126" s="34"/>
      <c r="L126" s="34"/>
      <c r="M126" s="84"/>
      <c r="N126" s="84"/>
      <c r="O126" s="100"/>
      <c r="P126" s="69"/>
      <c r="Q126" s="37"/>
      <c r="R126" s="106"/>
      <c r="S126" s="36"/>
      <c r="T126" s="44"/>
      <c r="U126" s="44"/>
      <c r="V126" s="44"/>
      <c r="W126" s="44"/>
      <c r="X126" s="44"/>
      <c r="Y126" s="44"/>
      <c r="Z126" s="44"/>
      <c r="AA126" s="44"/>
      <c r="AB126" s="44"/>
      <c r="AC126" s="44"/>
      <c r="AD126" s="44"/>
      <c r="AE126" s="36"/>
      <c r="AF126" s="36"/>
      <c r="AG126" s="36"/>
      <c r="AH126" s="36"/>
      <c r="AI126" s="36"/>
      <c r="AJ126" s="36"/>
      <c r="AK126" s="36"/>
      <c r="AL126" s="36"/>
      <c r="AM126" s="36"/>
      <c r="AN126" s="37"/>
      <c r="AO126" s="37"/>
      <c r="AP126" s="37"/>
      <c r="AQ126" s="37"/>
      <c r="AR126" s="37"/>
      <c r="AS126" s="37"/>
      <c r="AT126" s="37"/>
      <c r="AU126" s="37"/>
      <c r="AV126" s="37"/>
      <c r="AW126" s="37"/>
      <c r="AX126" s="37"/>
      <c r="AY126" s="37"/>
      <c r="AZ126" s="37"/>
      <c r="BA126" s="37"/>
      <c r="BB126" s="37"/>
      <c r="BC126" s="37"/>
      <c r="BD126" s="37"/>
      <c r="BE126" s="37"/>
      <c r="BF126" s="108"/>
      <c r="BG126" s="108"/>
    </row>
    <row r="127" spans="2:59" s="31" customFormat="1" ht="46.5" x14ac:dyDescent="0.3">
      <c r="B127" s="78" t="s">
        <v>668</v>
      </c>
      <c r="C127" s="392" t="s">
        <v>6</v>
      </c>
      <c r="D127" s="394"/>
      <c r="G127" s="34"/>
      <c r="H127" s="84"/>
      <c r="J127" s="33"/>
      <c r="K127" s="34"/>
      <c r="L127" s="34"/>
      <c r="M127" s="84"/>
      <c r="N127" s="84"/>
      <c r="O127" s="100"/>
      <c r="P127" s="69"/>
      <c r="Q127" s="37"/>
      <c r="R127" s="106"/>
      <c r="S127" s="36"/>
      <c r="T127" s="44"/>
      <c r="U127" s="44"/>
      <c r="V127" s="44"/>
      <c r="W127" s="44"/>
      <c r="X127" s="44"/>
      <c r="Y127" s="44"/>
      <c r="Z127" s="44"/>
      <c r="AA127" s="44"/>
      <c r="AB127" s="44"/>
      <c r="AC127" s="44"/>
      <c r="AD127" s="44"/>
      <c r="AE127" s="36"/>
      <c r="AF127" s="36"/>
      <c r="AG127" s="36"/>
      <c r="AH127" s="36"/>
      <c r="AI127" s="36"/>
      <c r="AJ127" s="36"/>
      <c r="AK127" s="36"/>
      <c r="AL127" s="36"/>
      <c r="AM127" s="36"/>
      <c r="AN127" s="37"/>
      <c r="AO127" s="37"/>
      <c r="AP127" s="37"/>
      <c r="AQ127" s="37"/>
      <c r="AR127" s="37"/>
      <c r="AS127" s="37"/>
      <c r="AT127" s="37"/>
      <c r="AU127" s="37"/>
      <c r="AV127" s="37"/>
      <c r="AW127" s="37"/>
      <c r="AX127" s="37"/>
      <c r="AY127" s="37"/>
      <c r="AZ127" s="37"/>
      <c r="BA127" s="37"/>
      <c r="BB127" s="37"/>
      <c r="BC127" s="37"/>
      <c r="BD127" s="37"/>
      <c r="BE127" s="37"/>
      <c r="BF127" s="108"/>
      <c r="BG127" s="108"/>
    </row>
    <row r="128" spans="2:59" s="31" customFormat="1" ht="15.5" x14ac:dyDescent="0.3">
      <c r="C128" s="34"/>
      <c r="D128" s="84"/>
      <c r="G128" s="34"/>
      <c r="H128" s="84"/>
      <c r="J128" s="33"/>
      <c r="K128" s="34"/>
      <c r="L128" s="34"/>
      <c r="M128" s="84"/>
      <c r="N128" s="84"/>
      <c r="O128" s="84"/>
      <c r="Q128" s="35"/>
      <c r="R128" s="106"/>
      <c r="S128" s="36"/>
      <c r="T128" s="44"/>
      <c r="U128" s="44"/>
      <c r="V128" s="44"/>
      <c r="W128" s="44"/>
      <c r="X128" s="44"/>
      <c r="Y128" s="44"/>
      <c r="Z128" s="44"/>
      <c r="AA128" s="44"/>
      <c r="AB128" s="44"/>
      <c r="AC128" s="44"/>
      <c r="AD128" s="44"/>
      <c r="AE128" s="36"/>
      <c r="AF128" s="36"/>
      <c r="AG128" s="36"/>
      <c r="AH128" s="36"/>
      <c r="AI128" s="36"/>
      <c r="AJ128" s="36"/>
      <c r="AK128" s="36"/>
      <c r="AL128" s="36"/>
      <c r="AM128" s="36"/>
      <c r="AN128" s="37"/>
      <c r="AO128" s="37"/>
      <c r="AP128" s="37"/>
      <c r="AQ128" s="37"/>
      <c r="AR128" s="37"/>
      <c r="AS128" s="37"/>
      <c r="AT128" s="37"/>
      <c r="AU128" s="37"/>
      <c r="AV128" s="37"/>
      <c r="AW128" s="37"/>
      <c r="AX128" s="37"/>
      <c r="AY128" s="37"/>
      <c r="AZ128" s="37"/>
      <c r="BA128" s="37"/>
      <c r="BB128" s="37"/>
      <c r="BC128" s="37"/>
      <c r="BD128" s="37"/>
      <c r="BE128" s="37"/>
    </row>
    <row r="129" spans="2:57" s="298" customFormat="1" ht="18" x14ac:dyDescent="0.3">
      <c r="B129" s="295" t="s">
        <v>649</v>
      </c>
      <c r="C129" s="296"/>
      <c r="D129" s="297"/>
      <c r="G129" s="296"/>
      <c r="H129" s="297"/>
      <c r="K129" s="296"/>
      <c r="L129" s="296"/>
      <c r="M129" s="297"/>
      <c r="N129" s="297"/>
      <c r="O129" s="300"/>
      <c r="P129" s="320"/>
      <c r="Q129" s="304"/>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4"/>
      <c r="AO129" s="304"/>
      <c r="AP129" s="304"/>
      <c r="AQ129" s="304"/>
      <c r="AR129" s="304"/>
      <c r="AS129" s="304"/>
      <c r="AT129" s="304"/>
      <c r="AU129" s="304"/>
      <c r="AV129" s="304"/>
      <c r="AW129" s="304"/>
      <c r="AX129" s="304"/>
      <c r="AY129" s="304"/>
      <c r="AZ129" s="304"/>
      <c r="BA129" s="304"/>
      <c r="BB129" s="304"/>
      <c r="BC129" s="304"/>
      <c r="BD129" s="304"/>
      <c r="BE129" s="304"/>
    </row>
    <row r="130" spans="2:57" s="31" customFormat="1" ht="15.5" x14ac:dyDescent="0.3">
      <c r="C130" s="34"/>
      <c r="D130" s="84"/>
      <c r="G130" s="34"/>
      <c r="H130" s="84"/>
      <c r="J130" s="33"/>
      <c r="K130" s="34"/>
      <c r="L130" s="34"/>
      <c r="M130" s="84"/>
      <c r="N130" s="84"/>
      <c r="O130" s="84"/>
      <c r="Q130" s="35"/>
      <c r="R130" s="106"/>
      <c r="S130" s="36"/>
      <c r="T130" s="44"/>
      <c r="U130" s="44"/>
      <c r="V130" s="44"/>
      <c r="W130" s="44"/>
      <c r="X130" s="44"/>
      <c r="Y130" s="44"/>
      <c r="Z130" s="44"/>
      <c r="AA130" s="44"/>
      <c r="AB130" s="44"/>
      <c r="AC130" s="44"/>
      <c r="AD130" s="44"/>
      <c r="AE130" s="36"/>
      <c r="AF130" s="36"/>
      <c r="AG130" s="36"/>
      <c r="AH130" s="36"/>
      <c r="AI130" s="36"/>
      <c r="AJ130" s="36"/>
      <c r="AK130" s="36"/>
      <c r="AL130" s="36"/>
      <c r="AM130" s="36"/>
      <c r="AN130" s="37"/>
      <c r="AO130" s="37"/>
      <c r="AP130" s="37"/>
      <c r="AQ130" s="37"/>
      <c r="AR130" s="37"/>
      <c r="AS130" s="37"/>
      <c r="AT130" s="37"/>
      <c r="AU130" s="37"/>
      <c r="AV130" s="37"/>
      <c r="AW130" s="37"/>
      <c r="AX130" s="37"/>
      <c r="AY130" s="37"/>
      <c r="AZ130" s="37"/>
      <c r="BA130" s="37"/>
      <c r="BB130" s="37"/>
      <c r="BC130" s="37"/>
      <c r="BD130" s="37"/>
      <c r="BE130" s="37"/>
    </row>
    <row r="131" spans="2:57" s="31" customFormat="1" ht="15.5" x14ac:dyDescent="0.3">
      <c r="B131" s="164" t="s">
        <v>335</v>
      </c>
      <c r="C131" s="34"/>
      <c r="D131" s="84"/>
      <c r="G131" s="34"/>
      <c r="H131" s="84"/>
      <c r="K131" s="38"/>
      <c r="L131" s="38"/>
      <c r="M131" s="84"/>
      <c r="N131" s="84"/>
      <c r="O131" s="255" t="s">
        <v>644</v>
      </c>
      <c r="Q131" s="35"/>
      <c r="R131" s="106"/>
      <c r="S131" s="36"/>
      <c r="T131" s="44"/>
      <c r="U131" s="44"/>
      <c r="V131" s="44"/>
      <c r="W131" s="44"/>
      <c r="X131" s="44"/>
      <c r="Y131" s="44"/>
      <c r="Z131" s="44"/>
      <c r="AA131" s="44"/>
      <c r="AB131" s="44"/>
      <c r="AC131" s="44"/>
      <c r="AD131" s="44"/>
      <c r="AE131" s="36"/>
      <c r="AF131" s="36"/>
      <c r="AG131" s="36"/>
      <c r="AH131" s="36"/>
      <c r="AI131" s="36"/>
      <c r="AJ131" s="36"/>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7" s="31" customFormat="1" ht="46.5" x14ac:dyDescent="0.3">
      <c r="B132" s="78" t="s">
        <v>726</v>
      </c>
      <c r="C132" s="395"/>
      <c r="D132" s="395"/>
      <c r="E132" s="34"/>
      <c r="F132" s="34"/>
      <c r="G132" s="34"/>
      <c r="H132" s="84"/>
      <c r="K132" s="38" t="s">
        <v>329</v>
      </c>
      <c r="L132" s="38" t="s">
        <v>201</v>
      </c>
      <c r="M132" s="84" t="s">
        <v>319</v>
      </c>
      <c r="N132" s="84"/>
      <c r="O132" s="256"/>
      <c r="Q132" s="35"/>
      <c r="R132" s="44" t="s">
        <v>350</v>
      </c>
      <c r="S132" s="36"/>
      <c r="T132" s="225"/>
      <c r="U132" s="44"/>
      <c r="V132" s="44"/>
      <c r="W132" s="44"/>
      <c r="X132" s="44"/>
      <c r="Y132" s="44"/>
      <c r="Z132" s="44"/>
      <c r="AA132" s="44"/>
      <c r="AB132" s="44"/>
      <c r="AC132" s="44"/>
      <c r="AD132" s="44"/>
      <c r="AE132" s="36"/>
      <c r="AF132" s="36"/>
      <c r="AG132" s="36"/>
      <c r="AH132" s="36"/>
      <c r="AI132" s="36"/>
      <c r="AJ132" s="36"/>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7" s="31" customFormat="1" ht="15.5" x14ac:dyDescent="0.3">
      <c r="B133" s="54" t="s">
        <v>599</v>
      </c>
      <c r="C133" s="162"/>
      <c r="D133" s="84" t="str">
        <f>IF(C132=Pudotusvalikot!$F$15,Pudotusvalikot!$G$15,IF(C132=Pudotusvalikot!$F$16,Pudotusvalikot!$G$16,IF(C132=Pudotusvalikot!$F$17,Pudotusvalikot!$G$17,IF(C132=Pudotusvalikot!$F$18,Pudotusvalikot!$G$18,IF(C132=Pudotusvalikot!$F$19,Pudotusvalikot!$G$19,IF(C132=Pudotusvalikot!$F$20,Pudotusvalikot!$G$20,IF(C132=Pudotusvalikot!$F$21,Pudotusvalikot!$G$21,IF(C132=Pudotusvalikot!$F$22,Pudotusvalikot!$G$22,IF(C132=Pudotusvalikot!$F$23,Pudotusvalikot!$G$23,IF(C132=Pudotusvalikot!$F$24,Pudotusvalikot!$G$24,"Yksikkö"))))))))))</f>
        <v>Yksikkö</v>
      </c>
      <c r="E133" s="34"/>
      <c r="F133" s="34"/>
      <c r="G133" s="34"/>
      <c r="H133" s="84"/>
      <c r="J133" s="33" t="s">
        <v>364</v>
      </c>
      <c r="K133" s="96" t="str">
        <f>IF(ISNUMBER(L133),L133,IF(C132=Pudotusvalikot!$F$14,"--",IF(C132=Pudotusvalikot!$F$15,Materiaalit!$G$25,IF(C132=Pudotusvalikot!$F$16,Materiaalit!$G$26,IF(C132=Pudotusvalikot!$F$17,Materiaalit!$G$27,IF(C132=Pudotusvalikot!$F$18,Materiaalit!$G$28,IF(C132=Pudotusvalikot!$F$19,Materiaalit!$G$29,IF(C132=Pudotusvalikot!$F$20,Materiaalit!$G$30,IF(C132=Pudotusvalikot!$F$21,Materiaalit!$G$31,IF(C132=Pudotusvalikot!$F$22,Materiaalit!$G$32,IF(C132=Pudotusvalikot!$F$23,Materiaalit!$G$33,IF(C132=Pudotusvalikot!$F$24,Materiaalit!$G$34,"Anna kerroin"))))))))))))</f>
        <v>Anna kerroin</v>
      </c>
      <c r="L133" s="40"/>
      <c r="M133" s="96" t="str">
        <f>IF(D133="Yksikkö","--","kgCO2e/" &amp;D133)</f>
        <v>--</v>
      </c>
      <c r="N133" s="42"/>
      <c r="O133" s="267"/>
      <c r="Q133" s="35"/>
      <c r="R133" s="218" t="str">
        <f>IF(AND(ISNUMBER(C133),ISNUMBER(K133)),C133*K133*IF(ISNUMBER(L133),L133,IF(C132=Pudotusvalikot!$F$14,1,IF(C132=Pudotusvalikot!$F$15,Materiaalit!$K$25,IF(C132=Pudotusvalikot!$F$16,Materiaalit!$K$26,IF(C132=Pudotusvalikot!$F$17,Materiaalit!$K$27,IF(C132=Pudotusvalikot!$F$18,Materiaalit!$K$28,IF(C132=Pudotusvalikot!$F$19,Materiaalit!$K$29,IF(C132=Pudotusvalikot!$F$20,Materiaalit!$K$30,IF(C132=Pudotusvalikot!$F$21,Materiaalit!$K$31,IF(C132=Pudotusvalikot!$F$22,Materiaalit!$K$32,IF(C132=Pudotusvalikot!$F$23,Materiaalit!$K$33,1))))))))))),"")</f>
        <v/>
      </c>
      <c r="S133" s="102" t="s">
        <v>172</v>
      </c>
      <c r="T133" s="225"/>
      <c r="U133" s="44"/>
      <c r="V133" s="44"/>
      <c r="W133" s="44"/>
      <c r="X133" s="44"/>
      <c r="Y133" s="44"/>
      <c r="Z133" s="44"/>
      <c r="AA133" s="44"/>
      <c r="AB133" s="44"/>
      <c r="AC133" s="44"/>
      <c r="AD133" s="44"/>
      <c r="AE133" s="36"/>
      <c r="AF133" s="36"/>
      <c r="AG133" s="36"/>
      <c r="AH133" s="36"/>
      <c r="AI133" s="36"/>
      <c r="AJ133" s="36"/>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7" s="31" customFormat="1" ht="15.5" x14ac:dyDescent="0.3">
      <c r="B134" s="164" t="s">
        <v>336</v>
      </c>
      <c r="C134" s="34"/>
      <c r="D134" s="84"/>
      <c r="E134" s="34"/>
      <c r="F134" s="34"/>
      <c r="G134" s="34"/>
      <c r="H134" s="84"/>
      <c r="J134" s="33"/>
      <c r="K134" s="38"/>
      <c r="L134" s="38"/>
      <c r="M134" s="38"/>
      <c r="N134" s="38"/>
      <c r="O134" s="268"/>
      <c r="Q134" s="35"/>
      <c r="R134" s="221"/>
      <c r="S134" s="36"/>
      <c r="T134" s="225"/>
      <c r="U134" s="44"/>
      <c r="V134" s="44"/>
      <c r="W134" s="44"/>
      <c r="X134" s="44"/>
      <c r="Y134" s="44"/>
      <c r="Z134" s="44"/>
      <c r="AA134" s="44"/>
      <c r="AB134" s="44"/>
      <c r="AC134" s="44"/>
      <c r="AD134" s="44"/>
      <c r="AE134" s="36"/>
      <c r="AF134" s="36"/>
      <c r="AG134" s="36"/>
      <c r="AH134" s="36"/>
      <c r="AI134" s="36"/>
      <c r="AJ134" s="36"/>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7" s="31" customFormat="1" ht="46.5" x14ac:dyDescent="0.3">
      <c r="B135" s="78" t="s">
        <v>726</v>
      </c>
      <c r="C135" s="395" t="s">
        <v>111</v>
      </c>
      <c r="D135" s="395"/>
      <c r="E135" s="34"/>
      <c r="F135" s="34"/>
      <c r="G135" s="34"/>
      <c r="H135" s="84"/>
      <c r="J135" s="33"/>
      <c r="K135" s="38" t="s">
        <v>329</v>
      </c>
      <c r="L135" s="38" t="s">
        <v>201</v>
      </c>
      <c r="M135" s="38" t="s">
        <v>319</v>
      </c>
      <c r="N135" s="38"/>
      <c r="O135" s="268"/>
      <c r="Q135" s="35"/>
      <c r="R135" s="44" t="s">
        <v>350</v>
      </c>
      <c r="S135" s="36"/>
      <c r="T135" s="225"/>
      <c r="U135" s="44"/>
      <c r="V135" s="44"/>
      <c r="W135" s="44"/>
      <c r="X135" s="44"/>
      <c r="Y135" s="44"/>
      <c r="Z135" s="44"/>
      <c r="AA135" s="44"/>
      <c r="AB135" s="44"/>
      <c r="AC135" s="44"/>
      <c r="AD135" s="44"/>
      <c r="AE135" s="36"/>
      <c r="AF135" s="36"/>
      <c r="AG135" s="36"/>
      <c r="AH135" s="36"/>
      <c r="AI135" s="36"/>
      <c r="AJ135" s="36"/>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7" s="31" customFormat="1" ht="15.5" x14ac:dyDescent="0.3">
      <c r="B136" s="54" t="s">
        <v>599</v>
      </c>
      <c r="C136" s="160"/>
      <c r="D136" s="84" t="str">
        <f>IF(C135=Pudotusvalikot!$F$15,Pudotusvalikot!$G$15,IF(C135=Pudotusvalikot!$F$16,Pudotusvalikot!$G$16,IF(C135=Pudotusvalikot!$F$17,Pudotusvalikot!$G$17,IF(C135=Pudotusvalikot!$F$18,Pudotusvalikot!$G$18,IF(C135=Pudotusvalikot!$F$19,Pudotusvalikot!$G$19,IF(C135=Pudotusvalikot!$F$20,Pudotusvalikot!$G$20,IF(C135=Pudotusvalikot!$F$21,Pudotusvalikot!$G$21,IF(C135=Pudotusvalikot!$F$22,Pudotusvalikot!$G$22,IF(C135=Pudotusvalikot!$F$23,Pudotusvalikot!$G$23,IF(C135=Pudotusvalikot!$F$24,Pudotusvalikot!$G$24,"Yksikkö"))))))))))</f>
        <v>Yksikkö</v>
      </c>
      <c r="E136" s="34"/>
      <c r="F136" s="34"/>
      <c r="G136" s="34"/>
      <c r="H136" s="84"/>
      <c r="J136" s="33" t="s">
        <v>364</v>
      </c>
      <c r="K136" s="96" t="str">
        <f>IF(ISNUMBER(L136),L136,IF(C135=Pudotusvalikot!$F$14,"--",IF(C135=Pudotusvalikot!$F$15,Materiaalit!$G$25,IF(C135=Pudotusvalikot!$F$16,Materiaalit!$G$26,IF(C135=Pudotusvalikot!$F$17,Materiaalit!$G$27,IF(C135=Pudotusvalikot!$F$18,Materiaalit!$G$28,IF(C135=Pudotusvalikot!$F$19,Materiaalit!$G$29,IF(C135=Pudotusvalikot!$F$20,Materiaalit!$G$30,IF(C135=Pudotusvalikot!$F$21,Materiaalit!$G$31,IF(C135=Pudotusvalikot!$F$22,Materiaalit!$G$32,IF(C135=Pudotusvalikot!$F$23,Materiaalit!$G$33,"Anna kerroin")))))))))))</f>
        <v>--</v>
      </c>
      <c r="L136" s="40"/>
      <c r="M136" s="96" t="str">
        <f>IF(D136="Yksikkö","--","kgCO2e/" &amp;D136)</f>
        <v>--</v>
      </c>
      <c r="N136" s="42"/>
      <c r="O136" s="267"/>
      <c r="Q136" s="35"/>
      <c r="R136" s="218" t="str">
        <f>IF(AND(ISNUMBER(C136),ISNUMBER(K136)),C136*K136*IF(ISNUMBER(L136),L136,IF(C135=Pudotusvalikot!$F$14,1,IF(C135=Pudotusvalikot!$F$15,Materiaalit!$K$25,IF(C135=Pudotusvalikot!$F$16,Materiaalit!$K$26,IF(C135=Pudotusvalikot!$F$17,Materiaalit!$K$27,IF(C135=Pudotusvalikot!$F$18,Materiaalit!$K$28,IF(C135=Pudotusvalikot!$F$19,Materiaalit!$K$29,IF(C135=Pudotusvalikot!$F$20,Materiaalit!$K$30,IF(C135=Pudotusvalikot!$F$21,Materiaalit!$K$31,IF(C135=Pudotusvalikot!$F$22,Materiaalit!$K$32,IF(C135=Pudotusvalikot!$F$23,Materiaalit!$K$33,1))))))))))),"")</f>
        <v/>
      </c>
      <c r="S136" s="102" t="s">
        <v>172</v>
      </c>
      <c r="T136" s="225"/>
      <c r="U136" s="44"/>
      <c r="V136" s="44"/>
      <c r="W136" s="44"/>
      <c r="X136" s="44"/>
      <c r="Y136" s="44"/>
      <c r="Z136" s="44"/>
      <c r="AA136" s="44"/>
      <c r="AB136" s="44"/>
      <c r="AC136" s="44"/>
      <c r="AD136" s="44"/>
      <c r="AE136" s="36"/>
      <c r="AF136" s="36"/>
      <c r="AG136" s="36"/>
      <c r="AH136" s="36"/>
      <c r="AI136" s="36"/>
      <c r="AJ136" s="36"/>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7" s="31" customFormat="1" ht="15.5" x14ac:dyDescent="0.3">
      <c r="B137" s="164" t="s">
        <v>337</v>
      </c>
      <c r="C137" s="34"/>
      <c r="D137" s="84"/>
      <c r="E137" s="34"/>
      <c r="F137" s="34"/>
      <c r="G137" s="34"/>
      <c r="H137" s="84"/>
      <c r="J137" s="33"/>
      <c r="K137" s="38"/>
      <c r="L137" s="38"/>
      <c r="M137" s="38"/>
      <c r="N137" s="38"/>
      <c r="O137" s="268"/>
      <c r="Q137" s="35"/>
      <c r="R137" s="221"/>
      <c r="S137" s="36"/>
      <c r="T137" s="225"/>
      <c r="U137" s="44"/>
      <c r="V137" s="44"/>
      <c r="W137" s="44"/>
      <c r="X137" s="44"/>
      <c r="Y137" s="44"/>
      <c r="Z137" s="44"/>
      <c r="AA137" s="44"/>
      <c r="AB137" s="44"/>
      <c r="AC137" s="44"/>
      <c r="AD137" s="44"/>
      <c r="AE137" s="36"/>
      <c r="AF137" s="36"/>
      <c r="AG137" s="36"/>
      <c r="AH137" s="36"/>
      <c r="AI137" s="36"/>
      <c r="AJ137" s="36"/>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7" s="31" customFormat="1" ht="46.5" x14ac:dyDescent="0.3">
      <c r="B138" s="78" t="s">
        <v>726</v>
      </c>
      <c r="C138" s="395" t="s">
        <v>111</v>
      </c>
      <c r="D138" s="395"/>
      <c r="E138" s="34"/>
      <c r="F138" s="34"/>
      <c r="G138" s="34"/>
      <c r="H138" s="84"/>
      <c r="J138" s="33"/>
      <c r="K138" s="38" t="s">
        <v>329</v>
      </c>
      <c r="L138" s="38" t="s">
        <v>201</v>
      </c>
      <c r="M138" s="38" t="s">
        <v>319</v>
      </c>
      <c r="N138" s="38"/>
      <c r="O138" s="268"/>
      <c r="Q138" s="35"/>
      <c r="R138" s="44" t="s">
        <v>350</v>
      </c>
      <c r="S138" s="36"/>
      <c r="T138" s="225"/>
      <c r="U138" s="44"/>
      <c r="V138" s="44"/>
      <c r="W138" s="44"/>
      <c r="X138" s="44"/>
      <c r="Y138" s="44"/>
      <c r="Z138" s="44"/>
      <c r="AA138" s="44"/>
      <c r="AB138" s="44"/>
      <c r="AC138" s="44"/>
      <c r="AD138" s="44"/>
      <c r="AE138" s="36"/>
      <c r="AF138" s="36"/>
      <c r="AG138" s="36"/>
      <c r="AH138" s="36"/>
      <c r="AI138" s="36"/>
      <c r="AJ138" s="36"/>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7" s="31" customFormat="1" ht="15.5" x14ac:dyDescent="0.3">
      <c r="B139" s="54" t="s">
        <v>599</v>
      </c>
      <c r="C139" s="160"/>
      <c r="D139" s="84" t="str">
        <f>IF(C138=Pudotusvalikot!$F$15,Pudotusvalikot!$G$15,IF(C138=Pudotusvalikot!$F$16,Pudotusvalikot!$G$16,IF(C138=Pudotusvalikot!$F$17,Pudotusvalikot!$G$17,IF(C138=Pudotusvalikot!$F$18,Pudotusvalikot!$G$18,IF(C138=Pudotusvalikot!$F$19,Pudotusvalikot!$G$19,IF(C138=Pudotusvalikot!$F$20,Pudotusvalikot!$G$20,IF(C138=Pudotusvalikot!$F$21,Pudotusvalikot!$G$21,IF(C138=Pudotusvalikot!$F$22,Pudotusvalikot!$G$22,IF(C138=Pudotusvalikot!$F$23,Pudotusvalikot!$G$23,IF(C138=Pudotusvalikot!$F$24,Pudotusvalikot!$G$24,"Yksikkö"))))))))))</f>
        <v>Yksikkö</v>
      </c>
      <c r="E139" s="34"/>
      <c r="F139" s="34"/>
      <c r="G139" s="34"/>
      <c r="H139" s="84"/>
      <c r="J139" s="33" t="s">
        <v>364</v>
      </c>
      <c r="K139" s="96" t="str">
        <f>IF(ISNUMBER(L139),L139,IF(C138=Pudotusvalikot!$F$14,"--",IF(C138=Pudotusvalikot!$F$15,Materiaalit!$G$25,IF(C138=Pudotusvalikot!$F$16,Materiaalit!$G$26,IF(C138=Pudotusvalikot!$F$17,Materiaalit!$G$27,IF(C138=Pudotusvalikot!$F$18,Materiaalit!$G$28,IF(C138=Pudotusvalikot!$F$19,Materiaalit!$G$29,IF(C138=Pudotusvalikot!$F$20,Materiaalit!$G$30,IF(C138=Pudotusvalikot!$F$21,Materiaalit!$G$31,IF(C138=Pudotusvalikot!$F$22,Materiaalit!$G$32,IF(C138=Pudotusvalikot!$F$23,Materiaalit!$G$33,"Anna kerroin")))))))))))</f>
        <v>--</v>
      </c>
      <c r="L139" s="40"/>
      <c r="M139" s="96" t="str">
        <f>IF(D139="Yksikkö","--","kgCO2e/" &amp;D139)</f>
        <v>--</v>
      </c>
      <c r="N139" s="42"/>
      <c r="O139" s="267"/>
      <c r="Q139" s="35"/>
      <c r="R139" s="218" t="str">
        <f>IF(AND(ISNUMBER(C139),ISNUMBER(K139)),C139*K139*IF(ISNUMBER(L139),L139,IF(C138=Pudotusvalikot!$F$14,1,IF(C138=Pudotusvalikot!$F$15,Materiaalit!$K$25,IF(C138=Pudotusvalikot!$F$16,Materiaalit!$K$26,IF(C138=Pudotusvalikot!$F$17,Materiaalit!$K$27,IF(C138=Pudotusvalikot!$F$18,Materiaalit!$K$28,IF(C138=Pudotusvalikot!$F$19,Materiaalit!$K$29,IF(C138=Pudotusvalikot!$F$20,Materiaalit!$K$30,IF(C138=Pudotusvalikot!$F$21,Materiaalit!$K$31,IF(C138=Pudotusvalikot!$F$22,Materiaalit!$K$32,IF(C138=Pudotusvalikot!$F$23,Materiaalit!$K$33,1))))))))))),"")</f>
        <v/>
      </c>
      <c r="S139" s="102" t="s">
        <v>172</v>
      </c>
      <c r="T139" s="225"/>
      <c r="U139" s="44"/>
      <c r="V139" s="44"/>
      <c r="W139" s="44"/>
      <c r="X139" s="44"/>
      <c r="Y139" s="44"/>
      <c r="Z139" s="44"/>
      <c r="AA139" s="44"/>
      <c r="AB139" s="44"/>
      <c r="AC139" s="44"/>
      <c r="AD139" s="44"/>
      <c r="AE139" s="36"/>
      <c r="AF139" s="36"/>
      <c r="AG139" s="36"/>
      <c r="AH139" s="36"/>
      <c r="AI139" s="36"/>
      <c r="AJ139" s="36"/>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7" s="31" customFormat="1" ht="15.5" x14ac:dyDescent="0.3">
      <c r="B140" s="164" t="s">
        <v>338</v>
      </c>
      <c r="C140" s="34"/>
      <c r="D140" s="84"/>
      <c r="E140" s="34"/>
      <c r="F140" s="34"/>
      <c r="G140" s="34"/>
      <c r="H140" s="84"/>
      <c r="J140" s="33"/>
      <c r="K140" s="38"/>
      <c r="L140" s="38"/>
      <c r="M140" s="38"/>
      <c r="N140" s="38"/>
      <c r="O140" s="268"/>
      <c r="Q140" s="35"/>
      <c r="R140" s="221"/>
      <c r="S140" s="36"/>
      <c r="T140" s="225"/>
      <c r="U140" s="44"/>
      <c r="V140" s="44"/>
      <c r="W140" s="44"/>
      <c r="X140" s="44"/>
      <c r="Y140" s="44"/>
      <c r="Z140" s="44"/>
      <c r="AA140" s="44"/>
      <c r="AB140" s="44"/>
      <c r="AC140" s="44"/>
      <c r="AD140" s="44"/>
      <c r="AE140" s="36"/>
      <c r="AF140" s="36"/>
      <c r="AG140" s="36"/>
      <c r="AH140" s="36"/>
      <c r="AI140" s="36"/>
      <c r="AJ140" s="36"/>
      <c r="AK140" s="36"/>
      <c r="AL140" s="36"/>
      <c r="AM140" s="36"/>
      <c r="AN140" s="37"/>
      <c r="AO140" s="37"/>
      <c r="AP140" s="37"/>
      <c r="AQ140" s="37"/>
      <c r="AR140" s="37"/>
      <c r="AS140" s="37"/>
      <c r="AT140" s="37"/>
      <c r="AU140" s="37"/>
      <c r="AV140" s="37"/>
      <c r="AW140" s="37"/>
      <c r="AX140" s="37"/>
      <c r="AY140" s="37"/>
      <c r="AZ140" s="37"/>
      <c r="BA140" s="37"/>
      <c r="BB140" s="37"/>
      <c r="BC140" s="37"/>
      <c r="BD140" s="37"/>
      <c r="BE140" s="37"/>
    </row>
    <row r="141" spans="2:57" s="31" customFormat="1" ht="46.5" x14ac:dyDescent="0.3">
      <c r="B141" s="78" t="s">
        <v>726</v>
      </c>
      <c r="C141" s="395" t="s">
        <v>111</v>
      </c>
      <c r="D141" s="395"/>
      <c r="E141" s="34"/>
      <c r="F141" s="34"/>
      <c r="G141" s="34"/>
      <c r="H141" s="84"/>
      <c r="J141" s="33"/>
      <c r="K141" s="38" t="s">
        <v>329</v>
      </c>
      <c r="L141" s="38" t="s">
        <v>201</v>
      </c>
      <c r="M141" s="38" t="s">
        <v>319</v>
      </c>
      <c r="N141" s="38"/>
      <c r="O141" s="268"/>
      <c r="Q141" s="35"/>
      <c r="R141" s="44" t="s">
        <v>350</v>
      </c>
      <c r="S141" s="36"/>
      <c r="T141" s="225"/>
      <c r="U141" s="44"/>
      <c r="V141" s="44"/>
      <c r="W141" s="44"/>
      <c r="X141" s="44"/>
      <c r="Y141" s="44"/>
      <c r="Z141" s="44"/>
      <c r="AA141" s="44"/>
      <c r="AB141" s="44"/>
      <c r="AC141" s="44"/>
      <c r="AD141" s="44"/>
      <c r="AE141" s="36"/>
      <c r="AF141" s="36"/>
      <c r="AG141" s="36"/>
      <c r="AH141" s="36"/>
      <c r="AI141" s="36"/>
      <c r="AJ141" s="36"/>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7" s="31" customFormat="1" ht="15.5" x14ac:dyDescent="0.3">
      <c r="B142" s="54" t="s">
        <v>599</v>
      </c>
      <c r="C142" s="160"/>
      <c r="D142" s="84" t="str">
        <f>IF(C141=Pudotusvalikot!$F$15,Pudotusvalikot!$G$15,IF(C141=Pudotusvalikot!$F$16,Pudotusvalikot!$G$16,IF(C141=Pudotusvalikot!$F$17,Pudotusvalikot!$G$17,IF(C141=Pudotusvalikot!$F$18,Pudotusvalikot!$G$18,IF(C141=Pudotusvalikot!$F$19,Pudotusvalikot!$G$19,IF(C141=Pudotusvalikot!$F$20,Pudotusvalikot!$G$20,IF(C141=Pudotusvalikot!$F$21,Pudotusvalikot!$G$21,IF(C141=Pudotusvalikot!$F$22,Pudotusvalikot!$G$22,IF(C141=Pudotusvalikot!$F$23,Pudotusvalikot!$G$23,IF(C141=Pudotusvalikot!$F$24,Pudotusvalikot!$G$24,"Yksikkö"))))))))))</f>
        <v>Yksikkö</v>
      </c>
      <c r="E142" s="34"/>
      <c r="F142" s="34"/>
      <c r="G142" s="34"/>
      <c r="H142" s="84"/>
      <c r="J142" s="33" t="s">
        <v>364</v>
      </c>
      <c r="K142" s="96" t="str">
        <f>IF(ISNUMBER(L142),L142,IF(C141=Pudotusvalikot!$F$14,"--",IF(C141=Pudotusvalikot!$F$15,Materiaalit!$G$25,IF(C141=Pudotusvalikot!$F$16,Materiaalit!$G$26,IF(C141=Pudotusvalikot!$F$17,Materiaalit!$G$27,IF(C141=Pudotusvalikot!$F$18,Materiaalit!$G$28,IF(C141=Pudotusvalikot!$F$19,Materiaalit!$G$29,IF(C141=Pudotusvalikot!$F$20,Materiaalit!$G$30,IF(C141=Pudotusvalikot!$F$21,Materiaalit!$G$31,IF(C141=Pudotusvalikot!$F$22,Materiaalit!$G$32,IF(C141=Pudotusvalikot!$F$23,Materiaalit!$G$33,"Anna kerroin")))))))))))</f>
        <v>--</v>
      </c>
      <c r="L142" s="40"/>
      <c r="M142" s="96" t="str">
        <f>IF(D142="Yksikkö","--","kgCO2e/" &amp;D142)</f>
        <v>--</v>
      </c>
      <c r="N142" s="42"/>
      <c r="O142" s="267"/>
      <c r="Q142" s="35"/>
      <c r="R142" s="218" t="str">
        <f>IF(AND(ISNUMBER(C142),ISNUMBER(K142)),C142*K142*IF(ISNUMBER(L142),L142,IF(C141=Pudotusvalikot!$F$14,1,IF(C141=Pudotusvalikot!$F$15,Materiaalit!$K$25,IF(C141=Pudotusvalikot!$F$16,Materiaalit!$K$26,IF(C141=Pudotusvalikot!$F$17,Materiaalit!$K$27,IF(C141=Pudotusvalikot!$F$18,Materiaalit!$K$28,IF(C141=Pudotusvalikot!$F$19,Materiaalit!$K$29,IF(C141=Pudotusvalikot!$F$20,Materiaalit!$K$30,IF(C141=Pudotusvalikot!$F$21,Materiaalit!$K$31,IF(C141=Pudotusvalikot!$F$22,Materiaalit!$K$32,IF(C141=Pudotusvalikot!$F$23,Materiaalit!$K$33,1))))))))))),"")</f>
        <v/>
      </c>
      <c r="S142" s="102" t="s">
        <v>172</v>
      </c>
      <c r="T142" s="225"/>
      <c r="U142" s="44"/>
      <c r="V142" s="44"/>
      <c r="W142" s="44"/>
      <c r="X142" s="44"/>
      <c r="Y142" s="44"/>
      <c r="Z142" s="44"/>
      <c r="AA142" s="44"/>
      <c r="AB142" s="44"/>
      <c r="AC142" s="44"/>
      <c r="AD142" s="44"/>
      <c r="AE142" s="36"/>
      <c r="AF142" s="36"/>
      <c r="AG142" s="36"/>
      <c r="AH142" s="36"/>
      <c r="AI142" s="36"/>
      <c r="AJ142" s="36"/>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7" s="31" customFormat="1" ht="15.5" x14ac:dyDescent="0.3">
      <c r="B143" s="164" t="s">
        <v>339</v>
      </c>
      <c r="C143" s="34"/>
      <c r="D143" s="84"/>
      <c r="E143" s="34"/>
      <c r="F143" s="34"/>
      <c r="G143" s="34"/>
      <c r="H143" s="84"/>
      <c r="J143" s="33"/>
      <c r="K143" s="38"/>
      <c r="L143" s="38"/>
      <c r="M143" s="38"/>
      <c r="N143" s="38"/>
      <c r="O143" s="268"/>
      <c r="Q143" s="35"/>
      <c r="R143" s="221"/>
      <c r="S143" s="36"/>
      <c r="T143" s="225"/>
      <c r="U143" s="44"/>
      <c r="V143" s="44"/>
      <c r="W143" s="44"/>
      <c r="X143" s="44"/>
      <c r="Y143" s="44"/>
      <c r="Z143" s="44"/>
      <c r="AA143" s="44"/>
      <c r="AB143" s="44"/>
      <c r="AC143" s="44"/>
      <c r="AD143" s="44"/>
      <c r="AE143" s="36"/>
      <c r="AF143" s="36"/>
      <c r="AG143" s="36"/>
      <c r="AH143" s="36"/>
      <c r="AI143" s="36"/>
      <c r="AJ143" s="36"/>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7" s="31" customFormat="1" ht="46.5" x14ac:dyDescent="0.3">
      <c r="B144" s="78" t="s">
        <v>726</v>
      </c>
      <c r="C144" s="395" t="s">
        <v>111</v>
      </c>
      <c r="D144" s="395"/>
      <c r="E144" s="34"/>
      <c r="F144" s="34"/>
      <c r="G144" s="34"/>
      <c r="H144" s="84"/>
      <c r="J144" s="33"/>
      <c r="K144" s="38" t="s">
        <v>329</v>
      </c>
      <c r="L144" s="38" t="s">
        <v>201</v>
      </c>
      <c r="M144" s="38" t="s">
        <v>319</v>
      </c>
      <c r="N144" s="38"/>
      <c r="O144" s="268"/>
      <c r="Q144" s="35"/>
      <c r="R144" s="44" t="s">
        <v>350</v>
      </c>
      <c r="S144" s="36"/>
      <c r="T144" s="225"/>
      <c r="U144" s="44"/>
      <c r="V144" s="44"/>
      <c r="W144" s="44"/>
      <c r="X144" s="44"/>
      <c r="Y144" s="44"/>
      <c r="Z144" s="44"/>
      <c r="AA144" s="44"/>
      <c r="AB144" s="44"/>
      <c r="AC144" s="44"/>
      <c r="AD144" s="44"/>
      <c r="AE144" s="36"/>
      <c r="AF144" s="36"/>
      <c r="AG144" s="36"/>
      <c r="AH144" s="36"/>
      <c r="AI144" s="36"/>
      <c r="AJ144" s="36"/>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15.5" x14ac:dyDescent="0.3">
      <c r="B145" s="54" t="s">
        <v>599</v>
      </c>
      <c r="C145" s="160"/>
      <c r="D145" s="84" t="str">
        <f>IF(C144=Pudotusvalikot!$F$15,Pudotusvalikot!$G$15,IF(C144=Pudotusvalikot!$F$16,Pudotusvalikot!$G$16,IF(C144=Pudotusvalikot!$F$17,Pudotusvalikot!$G$17,IF(C144=Pudotusvalikot!$F$18,Pudotusvalikot!$G$18,IF(C144=Pudotusvalikot!$F$19,Pudotusvalikot!$G$19,IF(C144=Pudotusvalikot!$F$20,Pudotusvalikot!$G$20,IF(C144=Pudotusvalikot!$F$21,Pudotusvalikot!$G$21,IF(C144=Pudotusvalikot!$F$22,Pudotusvalikot!$G$22,IF(C144=Pudotusvalikot!$F$23,Pudotusvalikot!$G$23,IF(C144=Pudotusvalikot!$F$24,Pudotusvalikot!$G$24,"Yksikkö"))))))))))</f>
        <v>Yksikkö</v>
      </c>
      <c r="E145" s="34"/>
      <c r="F145" s="34"/>
      <c r="G145" s="34"/>
      <c r="H145" s="84"/>
      <c r="J145" s="33" t="s">
        <v>364</v>
      </c>
      <c r="K145" s="96" t="str">
        <f>IF(ISNUMBER(L145),L145,IF(C144=Pudotusvalikot!$F$14,"--",IF(C144=Pudotusvalikot!$F$15,Materiaalit!$G$25,IF(C144=Pudotusvalikot!$F$16,Materiaalit!$G$26,IF(C144=Pudotusvalikot!$F$17,Materiaalit!$G$27,IF(C144=Pudotusvalikot!$F$18,Materiaalit!$G$28,IF(C144=Pudotusvalikot!$F$19,Materiaalit!$G$29,IF(C144=Pudotusvalikot!$F$20,Materiaalit!$G$30,IF(C144=Pudotusvalikot!$F$21,Materiaalit!$G$31,IF(C144=Pudotusvalikot!$F$22,Materiaalit!$G$32,IF(C144=Pudotusvalikot!$F$23,Materiaalit!$G$33,"Anna kerroin")))))))))))</f>
        <v>--</v>
      </c>
      <c r="L145" s="40"/>
      <c r="M145" s="96" t="str">
        <f>IF(D145="Yksikkö","--","kgCO2e/" &amp;D145)</f>
        <v>--</v>
      </c>
      <c r="N145" s="42"/>
      <c r="O145" s="267"/>
      <c r="Q145" s="35"/>
      <c r="R145" s="218" t="str">
        <f>IF(AND(ISNUMBER(C145),ISNUMBER(K145)),C145*K145*IF(ISNUMBER(L145),L145,IF(C144=Pudotusvalikot!$F$14,1,IF(C144=Pudotusvalikot!$F$15,Materiaalit!$K$25,IF(C144=Pudotusvalikot!$F$16,Materiaalit!$K$26,IF(C144=Pudotusvalikot!$F$17,Materiaalit!$K$27,IF(C144=Pudotusvalikot!$F$18,Materiaalit!$K$28,IF(C144=Pudotusvalikot!$F$19,Materiaalit!$K$29,IF(C144=Pudotusvalikot!$F$20,Materiaalit!$K$30,IF(C144=Pudotusvalikot!$F$21,Materiaalit!$K$31,IF(C144=Pudotusvalikot!$F$22,Materiaalit!$K$32,IF(C144=Pudotusvalikot!$F$23,Materiaalit!$K$33,1))))))))))),"")</f>
        <v/>
      </c>
      <c r="S145" s="102" t="s">
        <v>172</v>
      </c>
      <c r="T145" s="225"/>
      <c r="U145" s="44"/>
      <c r="V145" s="44"/>
      <c r="W145" s="44"/>
      <c r="X145" s="44"/>
      <c r="Y145" s="44"/>
      <c r="Z145" s="44"/>
      <c r="AA145" s="44"/>
      <c r="AB145" s="44"/>
      <c r="AC145" s="44"/>
      <c r="AD145" s="44"/>
      <c r="AE145" s="36"/>
      <c r="AF145" s="36"/>
      <c r="AG145" s="36"/>
      <c r="AH145" s="36"/>
      <c r="AI145" s="36"/>
      <c r="AJ145" s="36"/>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5" x14ac:dyDescent="0.3">
      <c r="C146" s="34"/>
      <c r="D146" s="84"/>
      <c r="G146" s="34"/>
      <c r="H146" s="84"/>
      <c r="J146" s="33"/>
      <c r="K146" s="34"/>
      <c r="L146" s="34"/>
      <c r="M146" s="84"/>
      <c r="N146" s="84"/>
      <c r="O146" s="84"/>
      <c r="Q146" s="35"/>
      <c r="R146" s="106"/>
      <c r="S146" s="36"/>
      <c r="T146" s="44"/>
      <c r="U146" s="44"/>
      <c r="V146" s="44"/>
      <c r="W146" s="44"/>
      <c r="X146" s="44"/>
      <c r="Y146" s="44"/>
      <c r="Z146" s="44"/>
      <c r="AA146" s="44"/>
      <c r="AB146" s="44"/>
      <c r="AC146" s="44"/>
      <c r="AD146" s="44"/>
      <c r="AE146" s="36"/>
      <c r="AF146" s="36"/>
      <c r="AG146" s="36"/>
      <c r="AH146" s="36"/>
      <c r="AI146" s="36"/>
      <c r="AJ146" s="36"/>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298" customFormat="1" ht="18" x14ac:dyDescent="0.3">
      <c r="B147" s="295" t="s">
        <v>650</v>
      </c>
      <c r="C147" s="296"/>
      <c r="D147" s="297"/>
      <c r="G147" s="296"/>
      <c r="H147" s="297"/>
      <c r="K147" s="296"/>
      <c r="L147" s="296"/>
      <c r="M147" s="297"/>
      <c r="N147" s="297"/>
      <c r="O147" s="300"/>
      <c r="P147" s="320"/>
      <c r="Q147" s="304"/>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304"/>
      <c r="AO147" s="304"/>
      <c r="AP147" s="304"/>
      <c r="AQ147" s="304"/>
      <c r="AR147" s="304"/>
      <c r="AS147" s="304"/>
      <c r="AT147" s="304"/>
      <c r="AU147" s="304"/>
      <c r="AV147" s="304"/>
      <c r="AW147" s="304"/>
      <c r="AX147" s="304"/>
      <c r="AY147" s="304"/>
      <c r="AZ147" s="304"/>
      <c r="BA147" s="304"/>
      <c r="BB147" s="304"/>
      <c r="BC147" s="304"/>
      <c r="BD147" s="304"/>
      <c r="BE147" s="304"/>
    </row>
    <row r="148" spans="2:57" s="31" customFormat="1" ht="15.5" x14ac:dyDescent="0.3">
      <c r="B148" s="9"/>
      <c r="C148" s="34"/>
      <c r="D148" s="84"/>
      <c r="G148" s="34"/>
      <c r="H148" s="84"/>
      <c r="J148" s="33"/>
      <c r="K148" s="34"/>
      <c r="L148" s="34"/>
      <c r="M148" s="84"/>
      <c r="N148" s="84"/>
      <c r="O148" s="255" t="s">
        <v>644</v>
      </c>
      <c r="Q148" s="35"/>
      <c r="R148" s="106"/>
      <c r="S148" s="36"/>
      <c r="T148" s="44"/>
      <c r="U148" s="44"/>
      <c r="V148" s="44"/>
      <c r="W148" s="44"/>
      <c r="X148" s="44"/>
      <c r="Y148" s="44"/>
      <c r="Z148" s="44"/>
      <c r="AA148" s="44"/>
      <c r="AB148" s="44"/>
      <c r="AC148" s="44"/>
      <c r="AD148" s="44"/>
      <c r="AE148" s="36"/>
      <c r="AF148" s="36"/>
      <c r="AG148" s="36"/>
      <c r="AH148" s="36"/>
      <c r="AI148" s="36"/>
      <c r="AJ148" s="36"/>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7" s="31" customFormat="1" ht="45.75" customHeight="1" x14ac:dyDescent="0.3">
      <c r="B149" s="398" t="s">
        <v>568</v>
      </c>
      <c r="C149" s="398"/>
      <c r="D149" s="398"/>
      <c r="E149" s="398"/>
      <c r="F149" s="398"/>
      <c r="G149" s="398"/>
      <c r="H149" s="398"/>
      <c r="J149" s="33"/>
      <c r="K149" s="42"/>
      <c r="L149" s="42"/>
      <c r="M149" s="41"/>
      <c r="N149" s="41"/>
      <c r="O149" s="256"/>
      <c r="Q149" s="35"/>
      <c r="R149" s="221"/>
      <c r="S149" s="102"/>
      <c r="T149" s="44"/>
      <c r="U149" s="44"/>
      <c r="V149" s="44"/>
      <c r="W149" s="44"/>
      <c r="X149" s="44"/>
      <c r="Y149" s="44"/>
      <c r="Z149" s="44"/>
      <c r="AA149" s="44"/>
      <c r="AB149" s="225"/>
      <c r="AC149" s="44"/>
      <c r="AD149" s="44"/>
      <c r="AE149" s="36"/>
      <c r="AF149" s="36"/>
      <c r="AG149" s="36"/>
      <c r="AH149" s="36"/>
      <c r="AI149" s="36"/>
      <c r="AJ149" s="36"/>
      <c r="AK149" s="36"/>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60.75" customHeight="1" x14ac:dyDescent="0.3">
      <c r="B150" s="398" t="s">
        <v>729</v>
      </c>
      <c r="C150" s="398"/>
      <c r="D150" s="398"/>
      <c r="E150" s="398"/>
      <c r="F150" s="398"/>
      <c r="G150" s="398"/>
      <c r="H150" s="398"/>
      <c r="J150" s="33"/>
      <c r="K150" s="42"/>
      <c r="L150" s="42"/>
      <c r="M150" s="41"/>
      <c r="N150" s="41"/>
      <c r="O150" s="265"/>
      <c r="Q150" s="35"/>
      <c r="R150" s="221"/>
      <c r="S150" s="102"/>
      <c r="T150" s="44"/>
      <c r="U150" s="44"/>
      <c r="V150" s="44"/>
      <c r="W150" s="44"/>
      <c r="X150" s="44"/>
      <c r="Y150" s="44"/>
      <c r="Z150" s="44"/>
      <c r="AA150" s="44"/>
      <c r="AB150" s="225"/>
      <c r="AC150" s="44"/>
      <c r="AD150" s="44"/>
      <c r="AE150" s="36"/>
      <c r="AF150" s="36"/>
      <c r="AG150" s="36"/>
      <c r="AH150" s="36"/>
      <c r="AI150" s="36"/>
      <c r="AJ150" s="36"/>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15.5" x14ac:dyDescent="0.3">
      <c r="B151" s="9"/>
      <c r="C151" s="34"/>
      <c r="D151" s="84"/>
      <c r="G151" s="34"/>
      <c r="H151" s="84"/>
      <c r="J151" s="33"/>
      <c r="K151" s="34"/>
      <c r="L151" s="34"/>
      <c r="M151" s="84"/>
      <c r="N151" s="84"/>
      <c r="O151" s="100"/>
      <c r="Q151" s="35"/>
      <c r="R151" s="106"/>
      <c r="S151" s="36"/>
      <c r="T151" s="44"/>
      <c r="U151" s="44"/>
      <c r="V151" s="44"/>
      <c r="W151" s="44"/>
      <c r="X151" s="44"/>
      <c r="Y151" s="44"/>
      <c r="Z151" s="44"/>
      <c r="AA151" s="44"/>
      <c r="AB151" s="44"/>
      <c r="AC151" s="44"/>
      <c r="AD151" s="44"/>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5" x14ac:dyDescent="0.3">
      <c r="B152" s="9" t="str">
        <f>B131</f>
        <v>Kemikaali-, tuote- tai materiaalilaji 1</v>
      </c>
      <c r="C152" s="34"/>
      <c r="D152" s="84"/>
      <c r="G152" s="34"/>
      <c r="H152" s="84"/>
      <c r="J152" s="33"/>
      <c r="K152" s="34"/>
      <c r="L152" s="34"/>
      <c r="M152" s="84"/>
      <c r="N152" s="84"/>
      <c r="O152" s="100"/>
      <c r="Q152" s="35"/>
      <c r="R152" s="44" t="s">
        <v>350</v>
      </c>
      <c r="S152" s="36"/>
      <c r="T152" s="44"/>
      <c r="U152" s="44"/>
      <c r="V152" s="44"/>
      <c r="W152" s="44"/>
      <c r="X152" s="44"/>
      <c r="Y152" s="44"/>
      <c r="Z152" s="44"/>
      <c r="AA152" s="44"/>
      <c r="AB152" s="225"/>
      <c r="AC152" s="44"/>
      <c r="AD152" s="44"/>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5" x14ac:dyDescent="0.3">
      <c r="B153" s="54" t="s">
        <v>375</v>
      </c>
      <c r="C153" s="160"/>
      <c r="D153" s="84" t="s">
        <v>281</v>
      </c>
      <c r="G153" s="34" t="s">
        <v>340</v>
      </c>
      <c r="H153" s="84"/>
      <c r="J153" s="33"/>
      <c r="K153" s="38" t="s">
        <v>329</v>
      </c>
      <c r="L153" s="38" t="s">
        <v>201</v>
      </c>
      <c r="M153" s="84"/>
      <c r="N153" s="84"/>
      <c r="O153" s="100"/>
      <c r="Q153" s="35"/>
      <c r="R153" s="218" t="str">
        <f>IF(AND(ISNUMBER(G154),ISNUMBER(C153)),SUM(R154,R157:R159),"")</f>
        <v/>
      </c>
      <c r="S153" s="102" t="s">
        <v>172</v>
      </c>
      <c r="T153" s="44"/>
      <c r="U153" s="44"/>
      <c r="V153" s="44"/>
      <c r="W153" s="44"/>
      <c r="X153" s="44"/>
      <c r="Y153" s="44"/>
      <c r="Z153" s="44"/>
      <c r="AA153" s="44"/>
      <c r="AB153" s="225"/>
      <c r="AC153" s="44"/>
      <c r="AD153" s="44"/>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46.5" x14ac:dyDescent="0.3">
      <c r="B154" s="155" t="s">
        <v>728</v>
      </c>
      <c r="C154" s="396" t="s">
        <v>283</v>
      </c>
      <c r="D154" s="397"/>
      <c r="G154" s="156"/>
      <c r="H154" s="84" t="s">
        <v>5</v>
      </c>
      <c r="J154" s="173" t="s">
        <v>441</v>
      </c>
      <c r="K154" s="96">
        <f>IF(ISNUMBER(L154),L154,IF(C154=Pudotusvalikot!$N$4,Kalusto!$G$105,IF(C154=Pudotusvalikot!$N$5,Kalusto!$G$106,IF(C154=Pudotusvalikot!$N$6,Kalusto!$G$107,IF(C154=Pudotusvalikot!$N$7,Kalusto!$G$108,Kalusto!$G$105))))*IF(OR(C156=Pudotusvalikot!$V$3,C156=Pudotusvalikot!$V$4),Muut!$E$38,IF(C156=Pudotusvalikot!$V$5,Muut!$E$39,IF(C156=Pudotusvalikot!$V$6,Muut!$E$40,Muut!$E$41))))</f>
        <v>4.9950000000000001E-2</v>
      </c>
      <c r="L154" s="40"/>
      <c r="M154" s="41" t="s">
        <v>200</v>
      </c>
      <c r="N154" s="41"/>
      <c r="O154" s="265"/>
      <c r="Q154" s="35"/>
      <c r="R154" s="218" t="str">
        <f>IF(ISNUMBER(Y155*X155*K154),Y155*X155*K154,"")</f>
        <v/>
      </c>
      <c r="S154" s="102" t="s">
        <v>172</v>
      </c>
      <c r="T154" s="44" t="s">
        <v>446</v>
      </c>
      <c r="U154" s="44" t="s">
        <v>384</v>
      </c>
      <c r="V154" s="44" t="s">
        <v>443</v>
      </c>
      <c r="W154" s="44" t="s">
        <v>444</v>
      </c>
      <c r="X154" s="44" t="s">
        <v>447</v>
      </c>
      <c r="Y154" s="44" t="s">
        <v>449</v>
      </c>
      <c r="Z154" s="44" t="s">
        <v>374</v>
      </c>
      <c r="AA154" s="44"/>
      <c r="AB154" s="225"/>
      <c r="AC154" s="44"/>
      <c r="AD154" s="44"/>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31" x14ac:dyDescent="0.3">
      <c r="B155" s="78" t="s">
        <v>530</v>
      </c>
      <c r="C155" s="392" t="s">
        <v>93</v>
      </c>
      <c r="D155" s="393"/>
      <c r="E155" s="393"/>
      <c r="F155" s="393"/>
      <c r="G155" s="394"/>
      <c r="J155" s="33"/>
      <c r="K155" s="38" t="s">
        <v>329</v>
      </c>
      <c r="L155" s="38" t="s">
        <v>201</v>
      </c>
      <c r="M155" s="41"/>
      <c r="N155" s="41"/>
      <c r="O155" s="265"/>
      <c r="Q155" s="47"/>
      <c r="R155" s="225"/>
      <c r="S155" s="36"/>
      <c r="T155" s="216" t="str">
        <f>IF(ISNUMBER(L154),"Kohdetieto",IF(OR(C155=Pudotusvalikot!$D$14,C155=Pudotusvalikot!$D$15),Kalusto!$I$96,VLOOKUP(C155,Kalusto!$C$44:$L$83,7,FALSE)))</f>
        <v>Puoliperävaunu</v>
      </c>
      <c r="U155" s="216">
        <f>IF(ISNUMBER(L154),"Kohdetieto",IF(OR(C155=Pudotusvalikot!$D$14,C155=Pudotusvalikot!$D$15),Kalusto!$J$96,VLOOKUP(C155,Kalusto!$C$44:$L$83,8,FALSE)))</f>
        <v>40</v>
      </c>
      <c r="V155" s="217">
        <f>IF(ISNUMBER(L154),"Kohdetieto",IF(OR(C155=Pudotusvalikot!$D$14,C155=Pudotusvalikot!$D$15),Kalusto!$K$96,VLOOKUP(C155,Kalusto!$C$44:$L$83,9,FALSE)))</f>
        <v>0.8</v>
      </c>
      <c r="W155" s="217" t="str">
        <f>IF(ISNUMBER(L154),"Kohdetieto",IF(OR(C155=Pudotusvalikot!$D$14,C155=Pudotusvalikot!$D$15),Kalusto!$L$96,VLOOKUP(C155,Kalusto!$C$44:$L$83,10,FALSE)))</f>
        <v>maantieajo</v>
      </c>
      <c r="X155" s="218" t="str">
        <f>IF(ISBLANK(C153),"",C153/1000)</f>
        <v/>
      </c>
      <c r="Y155" s="216" t="str">
        <f>IF(ISNUMBER(G154),G154,"")</f>
        <v/>
      </c>
      <c r="Z155" s="219">
        <f>IF(ISNUMBER(L154),L154,K154)</f>
        <v>4.9950000000000001E-2</v>
      </c>
      <c r="AA155" s="44"/>
      <c r="AB155" s="225"/>
      <c r="AC155" s="44"/>
      <c r="AD155" s="44"/>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15.5" x14ac:dyDescent="0.3">
      <c r="B156" s="78" t="s">
        <v>506</v>
      </c>
      <c r="C156" s="160" t="s">
        <v>242</v>
      </c>
      <c r="D156" s="34"/>
      <c r="E156" s="34"/>
      <c r="F156" s="34"/>
      <c r="G156" s="34"/>
      <c r="H156" s="59"/>
      <c r="J156" s="173"/>
      <c r="K156" s="173"/>
      <c r="L156" s="173"/>
      <c r="M156" s="41"/>
      <c r="N156" s="41"/>
      <c r="O156" s="265"/>
      <c r="Q156" s="47"/>
      <c r="R156" s="44"/>
      <c r="S156" s="36"/>
      <c r="T156" s="44"/>
      <c r="U156" s="44"/>
      <c r="V156" s="220"/>
      <c r="W156" s="220"/>
      <c r="X156" s="221"/>
      <c r="Y156" s="44"/>
      <c r="Z156" s="221"/>
      <c r="AA156" s="222"/>
      <c r="AB156" s="221"/>
      <c r="AC156" s="221"/>
      <c r="AD156" s="221"/>
      <c r="AE156" s="61"/>
      <c r="AF156" s="182"/>
      <c r="AG156" s="61"/>
      <c r="AH156" s="36"/>
      <c r="AI156" s="36"/>
      <c r="AJ156" s="36"/>
      <c r="AK156" s="108"/>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5" x14ac:dyDescent="0.3">
      <c r="B157" s="155" t="s">
        <v>542</v>
      </c>
      <c r="C157" s="395" t="s">
        <v>283</v>
      </c>
      <c r="D157" s="395"/>
      <c r="E157" s="169"/>
      <c r="G157" s="156"/>
      <c r="H157" s="84" t="s">
        <v>5</v>
      </c>
      <c r="J157" s="33" t="str">
        <f>IF(C157="Kuljetus","Ei oletusta","Oletus (" &amp; IF(C157="Tiekuljetus",Kalusto!$C$105,IF(C157="Raidekuljetus",Kalusto!$C$106,IF(C157="Laivarahti",Kalusto!$C$107,Kalusto!$C$108))) &amp; ")" )</f>
        <v>Oletus (Puoliperävaunuyhdistelmä, 40 t, 100 % kuorma, maantieajo)</v>
      </c>
      <c r="K157" s="96">
        <f>IF(ISNUMBER(L157),L157,IF(C157=Pudotusvalikot!$N$4,Kalusto!$G$105,IF(C157=Pudotusvalikot!$N$5,Kalusto!$G$106,IF(C157=Pudotusvalikot!$N$6,Kalusto!$G$107,IF(C157=Pudotusvalikot!$N$7,Kalusto!$G$108,Kalusto!$G$105)))))</f>
        <v>4.9950000000000001E-2</v>
      </c>
      <c r="L157" s="40"/>
      <c r="M157" s="41" t="s">
        <v>200</v>
      </c>
      <c r="N157" s="41"/>
      <c r="O157" s="265"/>
      <c r="Q157" s="35"/>
      <c r="R157" s="218" t="str">
        <f>IF(AND(ISNUMBER(G154)*ISNUMBER(C153)),K157*G157*C153,"")</f>
        <v/>
      </c>
      <c r="S157" s="102" t="s">
        <v>172</v>
      </c>
      <c r="T157" s="44"/>
      <c r="U157" s="44"/>
      <c r="V157" s="44"/>
      <c r="W157" s="44"/>
      <c r="X157" s="44"/>
      <c r="Y157" s="44"/>
      <c r="Z157" s="44"/>
      <c r="AA157" s="44"/>
      <c r="AB157" s="225"/>
      <c r="AC157" s="44"/>
      <c r="AD157" s="44"/>
      <c r="AE157" s="36"/>
      <c r="AF157" s="36"/>
      <c r="AG157" s="36"/>
      <c r="AH157" s="36"/>
      <c r="AI157" s="36"/>
      <c r="AJ157" s="36"/>
      <c r="AK157" s="36"/>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5" x14ac:dyDescent="0.3">
      <c r="B158" s="155" t="s">
        <v>542</v>
      </c>
      <c r="C158" s="395" t="s">
        <v>284</v>
      </c>
      <c r="D158" s="395"/>
      <c r="E158" s="169"/>
      <c r="G158" s="156"/>
      <c r="H158" s="84" t="s">
        <v>5</v>
      </c>
      <c r="J158" s="33" t="str">
        <f>IF(C158="Kuljetus","Ei oletusta","Oletus (" &amp; IF(C158="Tiekuljetus",Kalusto!$C$105,IF(C158="Raidekuljetus",Kalusto!$C$106,IF(C158="Laivarahti",Kalusto!$C$107,Kalusto!$C$108))) &amp; ")" )</f>
        <v>Oletus (Merikuljetus, konttilaiva, 1000 TEU)</v>
      </c>
      <c r="K158" s="96">
        <f>IF(ISNUMBER(L158),L158,IF(C158=Pudotusvalikot!$N$4,Kalusto!$G$105,IF(C158=Pudotusvalikot!$N$5,Kalusto!$G$106,IF(C158=Pudotusvalikot!$N$6,Kalusto!$G$107,IF(C158=Pudotusvalikot!$N$7,Kalusto!$G$108,"--")))))</f>
        <v>4.4999999999999998E-2</v>
      </c>
      <c r="L158" s="40"/>
      <c r="M158" s="41" t="s">
        <v>200</v>
      </c>
      <c r="N158" s="41"/>
      <c r="O158" s="265"/>
      <c r="Q158" s="35"/>
      <c r="R158" s="218" t="str">
        <f>IF(AND(ISNUMBER(G154)*ISNUMBER(C153)),K158*G158*C153,"")</f>
        <v/>
      </c>
      <c r="S158" s="102" t="s">
        <v>172</v>
      </c>
      <c r="T158" s="44"/>
      <c r="U158" s="44"/>
      <c r="V158" s="44"/>
      <c r="W158" s="44"/>
      <c r="X158" s="44"/>
      <c r="Y158" s="44"/>
      <c r="Z158" s="44"/>
      <c r="AA158" s="44"/>
      <c r="AB158" s="225"/>
      <c r="AC158" s="44"/>
      <c r="AD158" s="44"/>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5" x14ac:dyDescent="0.3">
      <c r="B159" s="155" t="s">
        <v>542</v>
      </c>
      <c r="C159" s="395" t="s">
        <v>283</v>
      </c>
      <c r="D159" s="395"/>
      <c r="E159" s="169"/>
      <c r="G159" s="156"/>
      <c r="H159" s="84" t="s">
        <v>5</v>
      </c>
      <c r="J159" s="33" t="str">
        <f>IF(C159="Kuljetus","Ei oletusta","Oletus (" &amp; IF(C159="Tiekuljetus",Kalusto!$C$105,IF(C159="Raidekuljetus",Kalusto!$C$106,IF(C159="Laivarahti",Kalusto!$C$107,Kalusto!$C$108))) &amp; ")" )</f>
        <v>Oletus (Puoliperävaunuyhdistelmä, 40 t, 100 % kuorma, maantieajo)</v>
      </c>
      <c r="K159" s="96">
        <f>IF(ISNUMBER(L159),L159,IF(C159=Pudotusvalikot!$N$4,Kalusto!$G$105,IF(C159=Pudotusvalikot!$N$5,Kalusto!$G$106,IF(C159=Pudotusvalikot!$N$6,Kalusto!$G$107,IF(C159=Pudotusvalikot!$N$7,Kalusto!$G$108,"--")))))</f>
        <v>4.9950000000000001E-2</v>
      </c>
      <c r="L159" s="40"/>
      <c r="M159" s="41" t="s">
        <v>200</v>
      </c>
      <c r="N159" s="41"/>
      <c r="O159" s="265"/>
      <c r="Q159" s="35"/>
      <c r="R159" s="218" t="str">
        <f>IF(AND(ISNUMBER(G154)*ISNUMBER(C153)),K159*G159*C153,"")</f>
        <v/>
      </c>
      <c r="S159" s="102" t="s">
        <v>172</v>
      </c>
      <c r="T159" s="44"/>
      <c r="U159" s="44"/>
      <c r="V159" s="44"/>
      <c r="W159" s="44"/>
      <c r="X159" s="44"/>
      <c r="Y159" s="44"/>
      <c r="Z159" s="44"/>
      <c r="AA159" s="44"/>
      <c r="AB159" s="225"/>
      <c r="AC159" s="44"/>
      <c r="AD159" s="44"/>
      <c r="AE159" s="36"/>
      <c r="AF159" s="36"/>
      <c r="AG159" s="36"/>
      <c r="AH159" s="36"/>
      <c r="AI159" s="36"/>
      <c r="AJ159" s="36"/>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5" x14ac:dyDescent="0.3">
      <c r="B160" s="9" t="str">
        <f>B134</f>
        <v>Kemikaali-, tuote- tai materiaalilaji 2</v>
      </c>
      <c r="C160" s="34"/>
      <c r="D160" s="84"/>
      <c r="G160" s="72"/>
      <c r="H160" s="84"/>
      <c r="J160" s="33"/>
      <c r="K160" s="34"/>
      <c r="L160" s="34"/>
      <c r="M160" s="84"/>
      <c r="N160" s="84"/>
      <c r="O160" s="100"/>
      <c r="Q160" s="35"/>
      <c r="R160" s="44" t="s">
        <v>350</v>
      </c>
      <c r="S160" s="36"/>
      <c r="T160" s="44"/>
      <c r="U160" s="44"/>
      <c r="V160" s="44"/>
      <c r="W160" s="44"/>
      <c r="X160" s="44"/>
      <c r="Y160" s="44"/>
      <c r="Z160" s="44"/>
      <c r="AA160" s="44"/>
      <c r="AB160" s="225"/>
      <c r="AC160" s="44"/>
      <c r="AD160" s="44"/>
      <c r="AE160" s="36"/>
      <c r="AF160" s="36"/>
      <c r="AG160" s="36"/>
      <c r="AH160" s="36"/>
      <c r="AI160" s="36"/>
      <c r="AJ160" s="36"/>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5" x14ac:dyDescent="0.3">
      <c r="B161" s="54" t="s">
        <v>375</v>
      </c>
      <c r="C161" s="160"/>
      <c r="D161" s="84" t="s">
        <v>281</v>
      </c>
      <c r="G161" s="34"/>
      <c r="H161" s="84"/>
      <c r="J161" s="33"/>
      <c r="K161" s="38" t="s">
        <v>329</v>
      </c>
      <c r="L161" s="38" t="s">
        <v>201</v>
      </c>
      <c r="M161" s="84"/>
      <c r="N161" s="84"/>
      <c r="O161" s="100"/>
      <c r="Q161" s="35"/>
      <c r="R161" s="218" t="str">
        <f>IF(AND(ISNUMBER(G162),ISNUMBER(C161)),SUM(R162,R165:R167),"")</f>
        <v/>
      </c>
      <c r="S161" s="102" t="s">
        <v>172</v>
      </c>
      <c r="T161" s="44"/>
      <c r="U161" s="44"/>
      <c r="V161" s="44"/>
      <c r="W161" s="44"/>
      <c r="X161" s="44"/>
      <c r="Y161" s="44"/>
      <c r="Z161" s="44"/>
      <c r="AA161" s="44"/>
      <c r="AB161" s="225"/>
      <c r="AC161" s="44"/>
      <c r="AD161" s="44"/>
      <c r="AE161" s="36"/>
      <c r="AF161" s="36"/>
      <c r="AG161" s="36"/>
      <c r="AH161" s="36"/>
      <c r="AI161" s="36"/>
      <c r="AJ161" s="36"/>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46.5" x14ac:dyDescent="0.3">
      <c r="B162" s="155" t="s">
        <v>728</v>
      </c>
      <c r="C162" s="396" t="s">
        <v>283</v>
      </c>
      <c r="D162" s="397"/>
      <c r="G162" s="156"/>
      <c r="H162" s="84" t="s">
        <v>5</v>
      </c>
      <c r="J162" s="173" t="s">
        <v>441</v>
      </c>
      <c r="K162" s="96">
        <f>IF(ISNUMBER(L162),L162,IF(C162=Pudotusvalikot!$N$4,Kalusto!$G$105,IF(C162=Pudotusvalikot!$N$5,Kalusto!$G$106,IF(C162=Pudotusvalikot!$N$6,Kalusto!$G$107,IF(C162=Pudotusvalikot!$N$7,Kalusto!$G$108,Kalusto!$G$105))))*IF(OR(C164=Pudotusvalikot!$V$3,C164=Pudotusvalikot!$V$4),Muut!$E$38,IF(C164=Pudotusvalikot!$V$5,Muut!$E$39,IF(C164=Pudotusvalikot!$V$6,Muut!$E$40,Muut!$E$41))))</f>
        <v>4.9950000000000001E-2</v>
      </c>
      <c r="L162" s="40"/>
      <c r="M162" s="41" t="s">
        <v>200</v>
      </c>
      <c r="N162" s="41"/>
      <c r="O162" s="265"/>
      <c r="Q162" s="35"/>
      <c r="R162" s="218" t="str">
        <f>IF(ISNUMBER(Y163*X163*K162),Y163*X163*K162,"")</f>
        <v/>
      </c>
      <c r="S162" s="102" t="s">
        <v>172</v>
      </c>
      <c r="T162" s="44" t="s">
        <v>446</v>
      </c>
      <c r="U162" s="44" t="s">
        <v>384</v>
      </c>
      <c r="V162" s="44" t="s">
        <v>443</v>
      </c>
      <c r="W162" s="44" t="s">
        <v>444</v>
      </c>
      <c r="X162" s="44" t="s">
        <v>447</v>
      </c>
      <c r="Y162" s="44" t="s">
        <v>449</v>
      </c>
      <c r="Z162" s="44" t="s">
        <v>374</v>
      </c>
      <c r="AA162" s="44"/>
      <c r="AB162" s="225"/>
      <c r="AC162" s="44"/>
      <c r="AD162" s="44"/>
      <c r="AE162" s="36"/>
      <c r="AF162" s="36"/>
      <c r="AG162" s="36"/>
      <c r="AH162" s="36"/>
      <c r="AI162" s="36"/>
      <c r="AJ162" s="36"/>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15.5" x14ac:dyDescent="0.3">
      <c r="B163" s="78" t="s">
        <v>377</v>
      </c>
      <c r="C163" s="392" t="s">
        <v>93</v>
      </c>
      <c r="D163" s="393"/>
      <c r="E163" s="393"/>
      <c r="F163" s="393"/>
      <c r="G163" s="394"/>
      <c r="J163" s="33"/>
      <c r="K163" s="38" t="s">
        <v>329</v>
      </c>
      <c r="L163" s="38" t="s">
        <v>201</v>
      </c>
      <c r="M163" s="41"/>
      <c r="N163" s="41"/>
      <c r="O163" s="265"/>
      <c r="Q163" s="47"/>
      <c r="R163" s="225"/>
      <c r="S163" s="36"/>
      <c r="T163" s="216" t="str">
        <f>IF(ISNUMBER(L162),"Kohdetieto",IF(OR(C163=Pudotusvalikot!$D$14,C163=Pudotusvalikot!$D$15),Kalusto!$I$96,VLOOKUP(C163,Kalusto!$C$44:$L$83,7,FALSE)))</f>
        <v>Puoliperävaunu</v>
      </c>
      <c r="U163" s="216">
        <f>IF(ISNUMBER(L162),"Kohdetieto",IF(OR(C163=Pudotusvalikot!$D$14,C163=Pudotusvalikot!$D$15),Kalusto!$J$96,VLOOKUP(C163,Kalusto!$C$44:$L$83,8,FALSE)))</f>
        <v>40</v>
      </c>
      <c r="V163" s="217">
        <f>IF(ISNUMBER(L162),"Kohdetieto",IF(OR(C163=Pudotusvalikot!$D$14,C163=Pudotusvalikot!$D$15),Kalusto!$K$96,VLOOKUP(C163,Kalusto!$C$44:$L$83,9,FALSE)))</f>
        <v>0.8</v>
      </c>
      <c r="W163" s="217" t="str">
        <f>IF(ISNUMBER(L162),"Kohdetieto",IF(OR(C163=Pudotusvalikot!$D$14,C163=Pudotusvalikot!$D$15),Kalusto!$L$96,VLOOKUP(C163,Kalusto!$C$44:$L$83,10,FALSE)))</f>
        <v>maantieajo</v>
      </c>
      <c r="X163" s="218" t="str">
        <f>IF(ISBLANK(C161),"",C161/1000)</f>
        <v/>
      </c>
      <c r="Y163" s="216" t="str">
        <f>IF(ISNUMBER(G162),G162,"")</f>
        <v/>
      </c>
      <c r="Z163" s="219">
        <f>IF(ISNUMBER(L162),L162,K162)</f>
        <v>4.9950000000000001E-2</v>
      </c>
      <c r="AA163" s="44"/>
      <c r="AB163" s="225"/>
      <c r="AC163" s="44"/>
      <c r="AD163" s="44"/>
      <c r="AE163" s="36"/>
      <c r="AF163" s="36"/>
      <c r="AG163" s="36"/>
      <c r="AH163" s="36"/>
      <c r="AI163" s="36"/>
      <c r="AJ163" s="36"/>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5" x14ac:dyDescent="0.3">
      <c r="B164" s="78" t="s">
        <v>506</v>
      </c>
      <c r="C164" s="160" t="s">
        <v>242</v>
      </c>
      <c r="D164" s="34"/>
      <c r="E164" s="34"/>
      <c r="F164" s="34"/>
      <c r="G164" s="34"/>
      <c r="H164" s="59"/>
      <c r="J164" s="173"/>
      <c r="K164" s="173"/>
      <c r="L164" s="173"/>
      <c r="M164" s="41"/>
      <c r="N164" s="41"/>
      <c r="O164" s="265"/>
      <c r="Q164" s="47"/>
      <c r="R164" s="44"/>
      <c r="S164" s="36"/>
      <c r="T164" s="44"/>
      <c r="U164" s="44"/>
      <c r="V164" s="220"/>
      <c r="W164" s="220"/>
      <c r="X164" s="221"/>
      <c r="Y164" s="44"/>
      <c r="Z164" s="221"/>
      <c r="AA164" s="222"/>
      <c r="AB164" s="221"/>
      <c r="AC164" s="221"/>
      <c r="AD164" s="221"/>
      <c r="AE164" s="61"/>
      <c r="AF164" s="182"/>
      <c r="AG164" s="61"/>
      <c r="AH164" s="36"/>
      <c r="AI164" s="36"/>
      <c r="AJ164" s="36"/>
      <c r="AK164" s="108"/>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5" x14ac:dyDescent="0.3">
      <c r="B165" s="155" t="s">
        <v>542</v>
      </c>
      <c r="C165" s="395" t="s">
        <v>283</v>
      </c>
      <c r="D165" s="395"/>
      <c r="G165" s="156"/>
      <c r="H165" s="84" t="s">
        <v>5</v>
      </c>
      <c r="J165" s="33" t="str">
        <f>IF(C165="Kuljetus","Ei oletusta","Oletus (" &amp; IF(C165="Tiekuljetus",Kalusto!$C$105,IF(C165="Raidekuljetus",Kalusto!$C$106,IF(C165="Laivarahti",Kalusto!$C$107,Kalusto!$C$108))) &amp; ")" )</f>
        <v>Oletus (Puoliperävaunuyhdistelmä, 40 t, 100 % kuorma, maantieajo)</v>
      </c>
      <c r="K165" s="96">
        <f>IF(ISNUMBER(L165),L165,IF(C165=Pudotusvalikot!$N$4,Kalusto!$G$105,IF(C165=Pudotusvalikot!$N$5,Kalusto!$G$106,IF(C165=Pudotusvalikot!$N$6,Kalusto!$G$107,IF(C165=Pudotusvalikot!$N$7,Kalusto!$G$108,Kalusto!$G$105)))))</f>
        <v>4.9950000000000001E-2</v>
      </c>
      <c r="L165" s="40"/>
      <c r="M165" s="41" t="s">
        <v>200</v>
      </c>
      <c r="N165" s="41"/>
      <c r="O165" s="265"/>
      <c r="Q165" s="35"/>
      <c r="R165" s="218" t="str">
        <f>IF(AND(ISNUMBER(G162)*ISNUMBER(C161)),K165*G165*C161,"")</f>
        <v/>
      </c>
      <c r="S165" s="102" t="s">
        <v>172</v>
      </c>
      <c r="T165" s="44"/>
      <c r="U165" s="44"/>
      <c r="V165" s="44"/>
      <c r="W165" s="44"/>
      <c r="X165" s="44"/>
      <c r="Y165" s="44"/>
      <c r="Z165" s="44"/>
      <c r="AA165" s="44"/>
      <c r="AB165" s="225"/>
      <c r="AC165" s="44"/>
      <c r="AD165" s="44"/>
      <c r="AE165" s="36"/>
      <c r="AF165" s="36"/>
      <c r="AG165" s="36"/>
      <c r="AH165" s="36"/>
      <c r="AI165" s="36"/>
      <c r="AJ165" s="36"/>
      <c r="AK165" s="36"/>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5" x14ac:dyDescent="0.3">
      <c r="B166" s="155" t="s">
        <v>542</v>
      </c>
      <c r="C166" s="395" t="s">
        <v>284</v>
      </c>
      <c r="D166" s="395"/>
      <c r="G166" s="156"/>
      <c r="H166" s="84" t="s">
        <v>5</v>
      </c>
      <c r="J166" s="33" t="str">
        <f>IF(C166="Kuljetus","Ei oletusta","Oletus (" &amp; IF(C166="Tiekuljetus",Kalusto!$C$105,IF(C166="Raidekuljetus",Kalusto!$C$106,IF(C166="Laivarahti",Kalusto!$C$107,Kalusto!$C$108))) &amp; ")" )</f>
        <v>Oletus (Merikuljetus, konttilaiva, 1000 TEU)</v>
      </c>
      <c r="K166" s="96">
        <f>IF(ISNUMBER(L166),L166,IF(C166=Pudotusvalikot!$N$4,Kalusto!$G$105,IF(C166=Pudotusvalikot!$N$5,Kalusto!$G$106,IF(C166=Pudotusvalikot!$N$6,Kalusto!$G$107,IF(C166=Pudotusvalikot!$N$7,Kalusto!$G$108,"--")))))</f>
        <v>4.4999999999999998E-2</v>
      </c>
      <c r="L166" s="40"/>
      <c r="M166" s="41" t="s">
        <v>200</v>
      </c>
      <c r="N166" s="41"/>
      <c r="O166" s="265"/>
      <c r="Q166" s="35"/>
      <c r="R166" s="218" t="str">
        <f>IF(AND(ISNUMBER(G162)*ISNUMBER(C161)),K166*G166*C161,"")</f>
        <v/>
      </c>
      <c r="S166" s="102" t="s">
        <v>172</v>
      </c>
      <c r="T166" s="44"/>
      <c r="U166" s="44"/>
      <c r="V166" s="44"/>
      <c r="W166" s="44"/>
      <c r="X166" s="44"/>
      <c r="Y166" s="44"/>
      <c r="Z166" s="44"/>
      <c r="AA166" s="44"/>
      <c r="AB166" s="225"/>
      <c r="AC166" s="44"/>
      <c r="AD166" s="44"/>
      <c r="AE166" s="36"/>
      <c r="AF166" s="36"/>
      <c r="AG166" s="36"/>
      <c r="AH166" s="36"/>
      <c r="AI166" s="36"/>
      <c r="AJ166" s="36"/>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5" x14ac:dyDescent="0.3">
      <c r="B167" s="155" t="s">
        <v>542</v>
      </c>
      <c r="C167" s="395" t="s">
        <v>283</v>
      </c>
      <c r="D167" s="395"/>
      <c r="G167" s="156"/>
      <c r="H167" s="84" t="s">
        <v>5</v>
      </c>
      <c r="J167" s="33" t="str">
        <f>IF(C167="Kuljetus","Ei oletusta","Oletus (" &amp; IF(C167="Tiekuljetus",Kalusto!$C$105,IF(C167="Raidekuljetus",Kalusto!$C$106,IF(C167="Laivarahti",Kalusto!$C$107,Kalusto!$C$108))) &amp; ")" )</f>
        <v>Oletus (Puoliperävaunuyhdistelmä, 40 t, 100 % kuorma, maantieajo)</v>
      </c>
      <c r="K167" s="96">
        <f>IF(ISNUMBER(L167),L167,IF(C167=Pudotusvalikot!$N$4,Kalusto!$G$105,IF(C167=Pudotusvalikot!$N$5,Kalusto!$G$106,IF(C167=Pudotusvalikot!$N$6,Kalusto!$G$107,IF(C167=Pudotusvalikot!$N$7,Kalusto!$G$108,"--")))))</f>
        <v>4.9950000000000001E-2</v>
      </c>
      <c r="L167" s="40"/>
      <c r="M167" s="41" t="s">
        <v>200</v>
      </c>
      <c r="N167" s="41"/>
      <c r="O167" s="265"/>
      <c r="Q167" s="35"/>
      <c r="R167" s="218" t="str">
        <f>IF(AND(ISNUMBER(G162)*ISNUMBER(C161)),K167*G167*C161,"")</f>
        <v/>
      </c>
      <c r="S167" s="102" t="s">
        <v>172</v>
      </c>
      <c r="T167" s="44"/>
      <c r="U167" s="44"/>
      <c r="V167" s="44"/>
      <c r="W167" s="44"/>
      <c r="X167" s="44"/>
      <c r="Y167" s="44"/>
      <c r="Z167" s="44"/>
      <c r="AA167" s="44"/>
      <c r="AB167" s="225"/>
      <c r="AC167" s="44"/>
      <c r="AD167" s="44"/>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5" x14ac:dyDescent="0.3">
      <c r="B168" s="9" t="str">
        <f>B137</f>
        <v>Kemikaali-, tuote- tai materiaalilaji 3</v>
      </c>
      <c r="C168" s="34"/>
      <c r="D168" s="84"/>
      <c r="G168" s="72"/>
      <c r="H168" s="84"/>
      <c r="J168" s="33"/>
      <c r="K168" s="34"/>
      <c r="L168" s="34"/>
      <c r="M168" s="84"/>
      <c r="N168" s="84"/>
      <c r="O168" s="100"/>
      <c r="Q168" s="35"/>
      <c r="R168" s="44" t="s">
        <v>350</v>
      </c>
      <c r="S168" s="36"/>
      <c r="T168" s="44"/>
      <c r="U168" s="44"/>
      <c r="V168" s="44"/>
      <c r="W168" s="44"/>
      <c r="X168" s="44"/>
      <c r="Y168" s="44"/>
      <c r="Z168" s="44"/>
      <c r="AA168" s="44"/>
      <c r="AB168" s="225"/>
      <c r="AC168" s="44"/>
      <c r="AD168" s="44"/>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5" x14ac:dyDescent="0.3">
      <c r="B169" s="54" t="s">
        <v>375</v>
      </c>
      <c r="C169" s="160"/>
      <c r="D169" s="84" t="s">
        <v>281</v>
      </c>
      <c r="G169" s="34"/>
      <c r="H169" s="84"/>
      <c r="J169" s="33"/>
      <c r="K169" s="38" t="s">
        <v>329</v>
      </c>
      <c r="L169" s="38" t="s">
        <v>201</v>
      </c>
      <c r="M169" s="84"/>
      <c r="N169" s="84"/>
      <c r="O169" s="100"/>
      <c r="Q169" s="35"/>
      <c r="R169" s="218" t="str">
        <f>IF(AND(ISNUMBER(G170),ISNUMBER(C169)),SUM(R170,R173:R175),"")</f>
        <v/>
      </c>
      <c r="S169" s="102" t="s">
        <v>172</v>
      </c>
      <c r="T169" s="44"/>
      <c r="U169" s="44"/>
      <c r="V169" s="44"/>
      <c r="W169" s="44"/>
      <c r="X169" s="44"/>
      <c r="Y169" s="44"/>
      <c r="Z169" s="44"/>
      <c r="AA169" s="44"/>
      <c r="AB169" s="225"/>
      <c r="AC169" s="44"/>
      <c r="AD169" s="44"/>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46.5" x14ac:dyDescent="0.3">
      <c r="B170" s="155" t="s">
        <v>728</v>
      </c>
      <c r="C170" s="396" t="s">
        <v>283</v>
      </c>
      <c r="D170" s="397"/>
      <c r="G170" s="156"/>
      <c r="H170" s="84" t="s">
        <v>5</v>
      </c>
      <c r="J170" s="173" t="s">
        <v>441</v>
      </c>
      <c r="K170" s="96">
        <f>IF(ISNUMBER(L170),L170,IF(C170=Pudotusvalikot!$N$4,Kalusto!$G$105,IF(C170=Pudotusvalikot!$N$5,Kalusto!$G$106,IF(C170=Pudotusvalikot!$N$6,Kalusto!$G$107,IF(C170=Pudotusvalikot!$N$7,Kalusto!$G$108,Kalusto!$G$105))))*IF(OR(C172=Pudotusvalikot!$V$3,C172=Pudotusvalikot!$V$4),Muut!$E$38,IF(C172=Pudotusvalikot!$V$5,Muut!$E$39,IF(C172=Pudotusvalikot!$V$6,Muut!$E$40,Muut!$E$41))))</f>
        <v>4.9950000000000001E-2</v>
      </c>
      <c r="L170" s="40"/>
      <c r="M170" s="41" t="s">
        <v>200</v>
      </c>
      <c r="N170" s="41"/>
      <c r="O170" s="265"/>
      <c r="Q170" s="35"/>
      <c r="R170" s="218" t="str">
        <f>IF(ISNUMBER(Y171*X171*K170),Y171*X171*K170,"")</f>
        <v/>
      </c>
      <c r="S170" s="102" t="s">
        <v>172</v>
      </c>
      <c r="T170" s="44" t="s">
        <v>446</v>
      </c>
      <c r="U170" s="44" t="s">
        <v>384</v>
      </c>
      <c r="V170" s="44" t="s">
        <v>443</v>
      </c>
      <c r="W170" s="44" t="s">
        <v>444</v>
      </c>
      <c r="X170" s="44" t="s">
        <v>447</v>
      </c>
      <c r="Y170" s="44" t="s">
        <v>449</v>
      </c>
      <c r="Z170" s="44" t="s">
        <v>374</v>
      </c>
      <c r="AA170" s="44"/>
      <c r="AB170" s="225"/>
      <c r="AC170" s="44"/>
      <c r="AD170" s="44"/>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15.5" x14ac:dyDescent="0.3">
      <c r="B171" s="78" t="s">
        <v>377</v>
      </c>
      <c r="C171" s="392" t="s">
        <v>93</v>
      </c>
      <c r="D171" s="393"/>
      <c r="E171" s="393"/>
      <c r="F171" s="393"/>
      <c r="G171" s="394"/>
      <c r="H171" s="46" t="s">
        <v>203</v>
      </c>
      <c r="J171" s="33"/>
      <c r="K171" s="38" t="s">
        <v>329</v>
      </c>
      <c r="L171" s="38" t="s">
        <v>201</v>
      </c>
      <c r="M171" s="41"/>
      <c r="N171" s="41"/>
      <c r="O171" s="265"/>
      <c r="Q171" s="47"/>
      <c r="R171" s="225"/>
      <c r="S171" s="36"/>
      <c r="T171" s="216" t="str">
        <f>IF(ISNUMBER(L170),"Kohdetieto",IF(OR(C171=Pudotusvalikot!$D$14,C171=Pudotusvalikot!$D$15),Kalusto!$I$96,VLOOKUP(C171,Kalusto!$C$44:$L$83,7,FALSE)))</f>
        <v>Puoliperävaunu</v>
      </c>
      <c r="U171" s="216">
        <f>IF(ISNUMBER(L170),"Kohdetieto",IF(OR(C171=Pudotusvalikot!$D$14,C171=Pudotusvalikot!$D$15),Kalusto!$J$96,VLOOKUP(C171,Kalusto!$C$44:$L$83,8,FALSE)))</f>
        <v>40</v>
      </c>
      <c r="V171" s="217">
        <f>IF(ISNUMBER(L170),"Kohdetieto",IF(OR(C171=Pudotusvalikot!$D$14,C171=Pudotusvalikot!$D$15),Kalusto!$K$96,VLOOKUP(C171,Kalusto!$C$44:$L$83,9,FALSE)))</f>
        <v>0.8</v>
      </c>
      <c r="W171" s="217" t="str">
        <f>IF(ISNUMBER(L170),"Kohdetieto",IF(OR(C171=Pudotusvalikot!$D$14,C171=Pudotusvalikot!$D$15),Kalusto!$L$96,VLOOKUP(C171,Kalusto!$C$44:$L$83,10,FALSE)))</f>
        <v>maantieajo</v>
      </c>
      <c r="X171" s="218" t="str">
        <f>IF(ISBLANK(C169),"",C169/1000)</f>
        <v/>
      </c>
      <c r="Y171" s="216" t="str">
        <f>IF(ISNUMBER(G170),G170,"")</f>
        <v/>
      </c>
      <c r="Z171" s="219">
        <f>IF(ISNUMBER(L170),L170,K170)</f>
        <v>4.9950000000000001E-2</v>
      </c>
      <c r="AA171" s="44"/>
      <c r="AB171" s="225"/>
      <c r="AC171" s="44"/>
      <c r="AD171" s="44"/>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5" x14ac:dyDescent="0.3">
      <c r="B172" s="78" t="s">
        <v>506</v>
      </c>
      <c r="C172" s="160" t="s">
        <v>242</v>
      </c>
      <c r="D172" s="34"/>
      <c r="E172" s="34"/>
      <c r="F172" s="34"/>
      <c r="G172" s="34"/>
      <c r="H172" s="59"/>
      <c r="J172" s="173"/>
      <c r="K172" s="173"/>
      <c r="L172" s="173"/>
      <c r="M172" s="41"/>
      <c r="N172" s="41"/>
      <c r="O172" s="265"/>
      <c r="Q172" s="47"/>
      <c r="R172" s="44"/>
      <c r="S172" s="36"/>
      <c r="T172" s="44"/>
      <c r="U172" s="44"/>
      <c r="V172" s="220"/>
      <c r="W172" s="220"/>
      <c r="X172" s="221"/>
      <c r="Y172" s="44"/>
      <c r="Z172" s="221"/>
      <c r="AA172" s="222"/>
      <c r="AB172" s="221"/>
      <c r="AC172" s="221"/>
      <c r="AD172" s="221"/>
      <c r="AE172" s="61"/>
      <c r="AF172" s="182"/>
      <c r="AG172" s="61"/>
      <c r="AH172" s="36"/>
      <c r="AI172" s="36"/>
      <c r="AJ172" s="36"/>
      <c r="AK172" s="108"/>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5" x14ac:dyDescent="0.3">
      <c r="B173" s="155" t="s">
        <v>542</v>
      </c>
      <c r="C173" s="395" t="s">
        <v>283</v>
      </c>
      <c r="D173" s="395"/>
      <c r="G173" s="156"/>
      <c r="H173" s="84" t="s">
        <v>5</v>
      </c>
      <c r="J173" s="33" t="str">
        <f>IF(C173="Kuljetus","Ei oletusta","Oletus (" &amp; IF(C173="Tiekuljetus",Kalusto!$C$105,IF(C173="Raidekuljetus",Kalusto!$C$106,IF(C173="Laivarahti",Kalusto!$C$107,Kalusto!$C$108))) &amp; ")" )</f>
        <v>Oletus (Puoliperävaunuyhdistelmä, 40 t, 100 % kuorma, maantieajo)</v>
      </c>
      <c r="K173" s="96">
        <f>IF(ISNUMBER(L173),L173,IF(C173=Pudotusvalikot!$N$4,Kalusto!$G$105,IF(C173=Pudotusvalikot!$N$5,Kalusto!$G$106,IF(C173=Pudotusvalikot!$N$6,Kalusto!$G$107,IF(C173=Pudotusvalikot!$N$7,Kalusto!$G$108,Kalusto!$G$105)))))</f>
        <v>4.9950000000000001E-2</v>
      </c>
      <c r="L173" s="40"/>
      <c r="M173" s="41" t="s">
        <v>200</v>
      </c>
      <c r="N173" s="41"/>
      <c r="O173" s="265"/>
      <c r="Q173" s="35"/>
      <c r="R173" s="218" t="str">
        <f>IF(AND(ISNUMBER(G170)*ISNUMBER(C169)),K173*G173*C169,"")</f>
        <v/>
      </c>
      <c r="S173" s="102" t="s">
        <v>172</v>
      </c>
      <c r="T173" s="44"/>
      <c r="U173" s="44"/>
      <c r="V173" s="44"/>
      <c r="W173" s="44"/>
      <c r="X173" s="44"/>
      <c r="Y173" s="44"/>
      <c r="Z173" s="44"/>
      <c r="AA173" s="44"/>
      <c r="AB173" s="225"/>
      <c r="AC173" s="44"/>
      <c r="AD173" s="44"/>
      <c r="AE173" s="36"/>
      <c r="AF173" s="36"/>
      <c r="AG173" s="36"/>
      <c r="AH173" s="36"/>
      <c r="AI173" s="36"/>
      <c r="AJ173" s="36"/>
      <c r="AK173" s="36"/>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5" x14ac:dyDescent="0.3">
      <c r="B174" s="155" t="s">
        <v>542</v>
      </c>
      <c r="C174" s="395" t="s">
        <v>284</v>
      </c>
      <c r="D174" s="395"/>
      <c r="G174" s="156">
        <v>6000</v>
      </c>
      <c r="H174" s="84" t="s">
        <v>5</v>
      </c>
      <c r="J174" s="33" t="str">
        <f>IF(C174="Kuljetus","Ei oletusta","Oletus (" &amp; IF(C174="Tiekuljetus",Kalusto!$C$105,IF(C174="Raidekuljetus",Kalusto!$C$106,IF(C174="Laivarahti",Kalusto!$C$107,Kalusto!$C$108))) &amp; ")" )</f>
        <v>Oletus (Merikuljetus, konttilaiva, 1000 TEU)</v>
      </c>
      <c r="K174" s="96">
        <f>IF(ISNUMBER(L174),L174,IF(C174=Pudotusvalikot!$N$4,Kalusto!$G$105,IF(C174=Pudotusvalikot!$N$5,Kalusto!$G$106,IF(C174=Pudotusvalikot!$N$6,Kalusto!$G$107,IF(C174=Pudotusvalikot!$N$7,Kalusto!$G$108,"--")))))</f>
        <v>4.4999999999999998E-2</v>
      </c>
      <c r="L174" s="40"/>
      <c r="M174" s="41" t="s">
        <v>200</v>
      </c>
      <c r="N174" s="41"/>
      <c r="O174" s="265"/>
      <c r="Q174" s="35"/>
      <c r="R174" s="218" t="str">
        <f>IF(AND(ISNUMBER(G170)*ISNUMBER(C169)),K174*G174*C169,"")</f>
        <v/>
      </c>
      <c r="S174" s="102" t="s">
        <v>172</v>
      </c>
      <c r="T174" s="44"/>
      <c r="U174" s="44"/>
      <c r="V174" s="44"/>
      <c r="W174" s="44"/>
      <c r="X174" s="44"/>
      <c r="Y174" s="44"/>
      <c r="Z174" s="44"/>
      <c r="AA174" s="44"/>
      <c r="AB174" s="225"/>
      <c r="AC174" s="44"/>
      <c r="AD174" s="44"/>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5" x14ac:dyDescent="0.3">
      <c r="B175" s="155" t="s">
        <v>542</v>
      </c>
      <c r="C175" s="395" t="s">
        <v>283</v>
      </c>
      <c r="D175" s="395"/>
      <c r="G175" s="156"/>
      <c r="H175" s="84" t="s">
        <v>5</v>
      </c>
      <c r="J175" s="33" t="str">
        <f>IF(C175="Kuljetus","Ei oletusta","Oletus (" &amp; IF(C175="Tiekuljetus",Kalusto!$C$105,IF(C175="Raidekuljetus",Kalusto!$C$106,IF(C175="Laivarahti",Kalusto!$C$107,Kalusto!$C$108))) &amp; ")" )</f>
        <v>Oletus (Puoliperävaunuyhdistelmä, 40 t, 100 % kuorma, maantieajo)</v>
      </c>
      <c r="K175" s="96">
        <f>IF(ISNUMBER(L175),L175,IF(C175=Pudotusvalikot!$N$4,Kalusto!$G$105,IF(C175=Pudotusvalikot!$N$5,Kalusto!$G$106,IF(C175=Pudotusvalikot!$N$6,Kalusto!$G$107,IF(C175=Pudotusvalikot!$N$7,Kalusto!$G$108,"--")))))</f>
        <v>4.9950000000000001E-2</v>
      </c>
      <c r="L175" s="40"/>
      <c r="M175" s="41" t="s">
        <v>200</v>
      </c>
      <c r="N175" s="41"/>
      <c r="O175" s="265"/>
      <c r="Q175" s="35"/>
      <c r="R175" s="218" t="str">
        <f>IF(AND(ISNUMBER(G170)*ISNUMBER(C169)),K175*G175*C169,"")</f>
        <v/>
      </c>
      <c r="S175" s="102" t="s">
        <v>172</v>
      </c>
      <c r="T175" s="44"/>
      <c r="U175" s="44"/>
      <c r="V175" s="44"/>
      <c r="W175" s="44"/>
      <c r="X175" s="44"/>
      <c r="Y175" s="44"/>
      <c r="Z175" s="44"/>
      <c r="AA175" s="44"/>
      <c r="AB175" s="225"/>
      <c r="AC175" s="44"/>
      <c r="AD175" s="44"/>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5" x14ac:dyDescent="0.3">
      <c r="B176" s="9" t="str">
        <f>B140</f>
        <v>Kemikaali-, tuote- tai materiaalilaji 4</v>
      </c>
      <c r="C176" s="34"/>
      <c r="D176" s="84"/>
      <c r="G176" s="72"/>
      <c r="H176" s="84"/>
      <c r="J176" s="33"/>
      <c r="K176" s="34"/>
      <c r="L176" s="34"/>
      <c r="M176" s="84"/>
      <c r="N176" s="84"/>
      <c r="O176" s="100"/>
      <c r="Q176" s="35"/>
      <c r="R176" s="44" t="s">
        <v>350</v>
      </c>
      <c r="S176" s="36"/>
      <c r="T176" s="44"/>
      <c r="U176" s="44"/>
      <c r="V176" s="44"/>
      <c r="W176" s="44"/>
      <c r="X176" s="44"/>
      <c r="Y176" s="44"/>
      <c r="Z176" s="44"/>
      <c r="AA176" s="44"/>
      <c r="AB176" s="225"/>
      <c r="AC176" s="44"/>
      <c r="AD176" s="44"/>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7" s="31" customFormat="1" ht="15.5" x14ac:dyDescent="0.3">
      <c r="B177" s="54" t="s">
        <v>375</v>
      </c>
      <c r="C177" s="160"/>
      <c r="D177" s="84" t="s">
        <v>281</v>
      </c>
      <c r="G177" s="34"/>
      <c r="H177" s="84"/>
      <c r="J177" s="33"/>
      <c r="K177" s="38" t="s">
        <v>329</v>
      </c>
      <c r="L177" s="38" t="s">
        <v>201</v>
      </c>
      <c r="M177" s="84"/>
      <c r="N177" s="84"/>
      <c r="O177" s="100"/>
      <c r="Q177" s="35"/>
      <c r="R177" s="218" t="str">
        <f>IF(AND(ISNUMBER(G178),ISNUMBER(C177)),SUM(R178,R181:R183),"")</f>
        <v/>
      </c>
      <c r="S177" s="102" t="s">
        <v>172</v>
      </c>
      <c r="T177" s="44"/>
      <c r="U177" s="44"/>
      <c r="V177" s="44"/>
      <c r="W177" s="44"/>
      <c r="X177" s="44"/>
      <c r="Y177" s="44"/>
      <c r="Z177" s="44"/>
      <c r="AA177" s="44"/>
      <c r="AB177" s="225"/>
      <c r="AC177" s="44"/>
      <c r="AD177" s="44"/>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7" s="31" customFormat="1" ht="46.5" x14ac:dyDescent="0.3">
      <c r="B178" s="155" t="s">
        <v>728</v>
      </c>
      <c r="C178" s="396" t="s">
        <v>283</v>
      </c>
      <c r="D178" s="397"/>
      <c r="G178" s="156"/>
      <c r="H178" s="84" t="s">
        <v>5</v>
      </c>
      <c r="J178" s="173" t="s">
        <v>441</v>
      </c>
      <c r="K178" s="96">
        <f>IF(ISNUMBER(L178),L178,IF(C178=Pudotusvalikot!$N$4,Kalusto!$G$105,IF(C178=Pudotusvalikot!$N$5,Kalusto!$G$106,IF(C178=Pudotusvalikot!$N$6,Kalusto!$G$107,IF(C178=Pudotusvalikot!$N$7,Kalusto!$G$108,Kalusto!$G$105))))*IF(OR(C180=Pudotusvalikot!$V$3,C180=Pudotusvalikot!$V$4),Muut!$E$38,IF(C180=Pudotusvalikot!$V$5,Muut!$E$39,IF(C180=Pudotusvalikot!$V$6,Muut!$E$40,Muut!$E$41))))</f>
        <v>4.9950000000000001E-2</v>
      </c>
      <c r="L178" s="40"/>
      <c r="M178" s="41" t="s">
        <v>200</v>
      </c>
      <c r="N178" s="41"/>
      <c r="O178" s="265"/>
      <c r="Q178" s="35"/>
      <c r="R178" s="218" t="str">
        <f>IF(ISNUMBER(Y179*X179*K178),Y179*X179*K178,"")</f>
        <v/>
      </c>
      <c r="S178" s="102" t="s">
        <v>172</v>
      </c>
      <c r="T178" s="44" t="s">
        <v>446</v>
      </c>
      <c r="U178" s="44" t="s">
        <v>384</v>
      </c>
      <c r="V178" s="44" t="s">
        <v>443</v>
      </c>
      <c r="W178" s="44" t="s">
        <v>444</v>
      </c>
      <c r="X178" s="44" t="s">
        <v>447</v>
      </c>
      <c r="Y178" s="44" t="s">
        <v>449</v>
      </c>
      <c r="Z178" s="44" t="s">
        <v>374</v>
      </c>
      <c r="AA178" s="44"/>
      <c r="AB178" s="225"/>
      <c r="AC178" s="44"/>
      <c r="AD178" s="44"/>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7" s="31" customFormat="1" ht="15.5" x14ac:dyDescent="0.3">
      <c r="B179" s="78" t="s">
        <v>377</v>
      </c>
      <c r="C179" s="392" t="s">
        <v>93</v>
      </c>
      <c r="D179" s="393"/>
      <c r="E179" s="393"/>
      <c r="F179" s="393"/>
      <c r="G179" s="394"/>
      <c r="J179" s="33"/>
      <c r="K179" s="38" t="s">
        <v>329</v>
      </c>
      <c r="L179" s="38" t="s">
        <v>201</v>
      </c>
      <c r="M179" s="41"/>
      <c r="N179" s="41"/>
      <c r="O179" s="265"/>
      <c r="Q179" s="47"/>
      <c r="R179" s="225"/>
      <c r="S179" s="36"/>
      <c r="T179" s="216" t="str">
        <f>IF(ISNUMBER(L178),"Kohdetieto",IF(OR(C179=Pudotusvalikot!$D$14,C179=Pudotusvalikot!$D$15),Kalusto!$I$96,VLOOKUP(C179,Kalusto!$C$44:$L$83,7,FALSE)))</f>
        <v>Puoliperävaunu</v>
      </c>
      <c r="U179" s="216">
        <f>IF(ISNUMBER(L178),"Kohdetieto",IF(OR(C179=Pudotusvalikot!$D$14,C179=Pudotusvalikot!$D$15),Kalusto!$J$96,VLOOKUP(C179,Kalusto!$C$44:$L$83,8,FALSE)))</f>
        <v>40</v>
      </c>
      <c r="V179" s="217">
        <f>IF(ISNUMBER(L178),"Kohdetieto",IF(OR(C179=Pudotusvalikot!$D$14,C179=Pudotusvalikot!$D$15),Kalusto!$K$96,VLOOKUP(C179,Kalusto!$C$44:$L$83,9,FALSE)))</f>
        <v>0.8</v>
      </c>
      <c r="W179" s="217" t="str">
        <f>IF(ISNUMBER(L178),"Kohdetieto",IF(OR(C179=Pudotusvalikot!$D$14,C179=Pudotusvalikot!$D$15),Kalusto!$L$96,VLOOKUP(C179,Kalusto!$C$44:$L$83,10,FALSE)))</f>
        <v>maantieajo</v>
      </c>
      <c r="X179" s="218" t="str">
        <f>IF(ISBLANK(C177),"",C177/1000)</f>
        <v/>
      </c>
      <c r="Y179" s="216" t="str">
        <f>IF(ISNUMBER(G178),G178,"")</f>
        <v/>
      </c>
      <c r="Z179" s="219">
        <f>IF(ISNUMBER(L178),L178,K178)</f>
        <v>4.9950000000000001E-2</v>
      </c>
      <c r="AA179" s="44"/>
      <c r="AB179" s="225"/>
      <c r="AC179" s="44"/>
      <c r="AD179" s="44"/>
      <c r="AE179" s="36"/>
      <c r="AF179" s="36"/>
      <c r="AG179" s="36"/>
      <c r="AH179" s="36"/>
      <c r="AI179" s="36"/>
      <c r="AJ179" s="36"/>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7" s="31" customFormat="1" ht="15.5" x14ac:dyDescent="0.3">
      <c r="B180" s="78" t="s">
        <v>506</v>
      </c>
      <c r="C180" s="160" t="s">
        <v>242</v>
      </c>
      <c r="D180" s="34"/>
      <c r="E180" s="34"/>
      <c r="F180" s="34"/>
      <c r="G180" s="34"/>
      <c r="H180" s="59"/>
      <c r="J180" s="173"/>
      <c r="K180" s="173"/>
      <c r="L180" s="173"/>
      <c r="M180" s="41"/>
      <c r="N180" s="41"/>
      <c r="O180" s="265"/>
      <c r="Q180" s="47"/>
      <c r="R180" s="44"/>
      <c r="S180" s="36"/>
      <c r="T180" s="44"/>
      <c r="U180" s="44"/>
      <c r="V180" s="220"/>
      <c r="W180" s="220"/>
      <c r="X180" s="221"/>
      <c r="Y180" s="44"/>
      <c r="Z180" s="221"/>
      <c r="AA180" s="222"/>
      <c r="AB180" s="221"/>
      <c r="AC180" s="221"/>
      <c r="AD180" s="221"/>
      <c r="AE180" s="61"/>
      <c r="AF180" s="182"/>
      <c r="AG180" s="61"/>
      <c r="AH180" s="36"/>
      <c r="AI180" s="36"/>
      <c r="AJ180" s="36"/>
      <c r="AK180" s="108"/>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7" s="31" customFormat="1" ht="15.5" x14ac:dyDescent="0.3">
      <c r="B181" s="155" t="s">
        <v>543</v>
      </c>
      <c r="C181" s="395" t="s">
        <v>283</v>
      </c>
      <c r="D181" s="395"/>
      <c r="G181" s="156"/>
      <c r="H181" s="84" t="s">
        <v>5</v>
      </c>
      <c r="J181" s="33" t="str">
        <f>IF(C181="Kuljetus","Ei oletusta","Oletus (" &amp; IF(C181="Tiekuljetus",Kalusto!$C$105,IF(C181="Raidekuljetus",Kalusto!$C$106,IF(C181="Laivarahti",Kalusto!$C$107,Kalusto!$C$108))) &amp; ")" )</f>
        <v>Oletus (Puoliperävaunuyhdistelmä, 40 t, 100 % kuorma, maantieajo)</v>
      </c>
      <c r="K181" s="96">
        <f>IF(ISNUMBER(L181),L181,IF(C181=Pudotusvalikot!$N$4,Kalusto!$G$105,IF(C181=Pudotusvalikot!$N$5,Kalusto!$G$106,IF(C181=Pudotusvalikot!$N$6,Kalusto!$G$107,IF(C181=Pudotusvalikot!$N$7,Kalusto!$G$108,Kalusto!$G$105)))))</f>
        <v>4.9950000000000001E-2</v>
      </c>
      <c r="L181" s="40"/>
      <c r="M181" s="41" t="s">
        <v>200</v>
      </c>
      <c r="N181" s="41"/>
      <c r="O181" s="265"/>
      <c r="Q181" s="35"/>
      <c r="R181" s="218" t="str">
        <f>IF(AND(ISNUMBER(G178)*ISNUMBER(C177)),K181*G181*C177,"")</f>
        <v/>
      </c>
      <c r="S181" s="102" t="s">
        <v>172</v>
      </c>
      <c r="T181" s="44"/>
      <c r="U181" s="44"/>
      <c r="V181" s="44"/>
      <c r="W181" s="44"/>
      <c r="X181" s="44"/>
      <c r="Y181" s="44"/>
      <c r="Z181" s="44"/>
      <c r="AA181" s="44"/>
      <c r="AB181" s="225"/>
      <c r="AC181" s="44"/>
      <c r="AD181" s="44"/>
      <c r="AE181" s="36"/>
      <c r="AF181" s="36"/>
      <c r="AG181" s="36"/>
      <c r="AH181" s="36"/>
      <c r="AI181" s="36"/>
      <c r="AJ181" s="36"/>
      <c r="AK181" s="36"/>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7" s="31" customFormat="1" ht="15.5" x14ac:dyDescent="0.3">
      <c r="B182" s="155" t="s">
        <v>543</v>
      </c>
      <c r="C182" s="395" t="s">
        <v>284</v>
      </c>
      <c r="D182" s="395"/>
      <c r="G182" s="156"/>
      <c r="H182" s="84" t="s">
        <v>5</v>
      </c>
      <c r="J182" s="33" t="str">
        <f>IF(C182="Kuljetus","Ei oletusta","Oletus (" &amp; IF(C182="Tiekuljetus",Kalusto!$C$105,IF(C182="Raidekuljetus",Kalusto!$C$106,IF(C182="Laivarahti",Kalusto!$C$107,Kalusto!$C$108))) &amp; ")" )</f>
        <v>Oletus (Merikuljetus, konttilaiva, 1000 TEU)</v>
      </c>
      <c r="K182" s="96">
        <f>IF(ISNUMBER(L182),L182,IF(C182=Pudotusvalikot!$N$4,Kalusto!$G$105,IF(C182=Pudotusvalikot!$N$5,Kalusto!$G$106,IF(C182=Pudotusvalikot!$N$6,Kalusto!$G$107,IF(C182=Pudotusvalikot!$N$7,Kalusto!$G$108,"--")))))</f>
        <v>4.4999999999999998E-2</v>
      </c>
      <c r="L182" s="40"/>
      <c r="M182" s="41" t="s">
        <v>200</v>
      </c>
      <c r="N182" s="41"/>
      <c r="O182" s="265"/>
      <c r="Q182" s="35"/>
      <c r="R182" s="218" t="str">
        <f>IF(AND(ISNUMBER(G178)*ISNUMBER(C177)),K182*G182*C177,"")</f>
        <v/>
      </c>
      <c r="S182" s="102" t="s">
        <v>172</v>
      </c>
      <c r="T182" s="44"/>
      <c r="U182" s="44"/>
      <c r="V182" s="44"/>
      <c r="W182" s="44"/>
      <c r="X182" s="44"/>
      <c r="Y182" s="44"/>
      <c r="Z182" s="44"/>
      <c r="AA182" s="44"/>
      <c r="AB182" s="225"/>
      <c r="AC182" s="44"/>
      <c r="AD182" s="44"/>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7" s="31" customFormat="1" ht="15.5" x14ac:dyDescent="0.3">
      <c r="B183" s="155" t="s">
        <v>543</v>
      </c>
      <c r="C183" s="395" t="s">
        <v>283</v>
      </c>
      <c r="D183" s="395"/>
      <c r="G183" s="156"/>
      <c r="H183" s="84" t="s">
        <v>5</v>
      </c>
      <c r="J183" s="33" t="str">
        <f>IF(C183="Kuljetus","Ei oletusta","Oletus (" &amp; IF(C183="Tiekuljetus",Kalusto!$C$105,IF(C183="Raidekuljetus",Kalusto!$C$106,IF(C183="Laivarahti",Kalusto!$C$107,Kalusto!$C$108))) &amp; ")" )</f>
        <v>Oletus (Puoliperävaunuyhdistelmä, 40 t, 100 % kuorma, maantieajo)</v>
      </c>
      <c r="K183" s="96">
        <f>IF(ISNUMBER(L183),L183,IF(C183=Pudotusvalikot!$N$4,Kalusto!$G$105,IF(C183=Pudotusvalikot!$N$5,Kalusto!$G$106,IF(C183=Pudotusvalikot!$N$6,Kalusto!$G$107,IF(C183=Pudotusvalikot!$N$7,Kalusto!$G$108,"--")))))</f>
        <v>4.9950000000000001E-2</v>
      </c>
      <c r="L183" s="40"/>
      <c r="M183" s="41" t="s">
        <v>200</v>
      </c>
      <c r="N183" s="41"/>
      <c r="O183" s="265"/>
      <c r="Q183" s="35"/>
      <c r="R183" s="218" t="str">
        <f>IF(AND(ISNUMBER(G178)*ISNUMBER(C177)),K183*G183*C177,"")</f>
        <v/>
      </c>
      <c r="S183" s="102" t="s">
        <v>172</v>
      </c>
      <c r="T183" s="44"/>
      <c r="U183" s="44"/>
      <c r="V183" s="44"/>
      <c r="W183" s="44"/>
      <c r="X183" s="44"/>
      <c r="Y183" s="44"/>
      <c r="Z183" s="44"/>
      <c r="AA183" s="44"/>
      <c r="AB183" s="225"/>
      <c r="AC183" s="44"/>
      <c r="AD183" s="44"/>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7" s="31" customFormat="1" ht="15.5" x14ac:dyDescent="0.3">
      <c r="B184" s="9" t="str">
        <f>B143</f>
        <v>Kemikaali-, tuote- tai materiaalilaji 5</v>
      </c>
      <c r="C184" s="34"/>
      <c r="D184" s="84"/>
      <c r="G184" s="72"/>
      <c r="H184" s="84"/>
      <c r="J184" s="33"/>
      <c r="K184" s="34"/>
      <c r="L184" s="34"/>
      <c r="M184" s="84"/>
      <c r="N184" s="84"/>
      <c r="O184" s="100"/>
      <c r="Q184" s="35"/>
      <c r="R184" s="44" t="s">
        <v>350</v>
      </c>
      <c r="S184" s="36"/>
      <c r="T184" s="44"/>
      <c r="U184" s="44"/>
      <c r="V184" s="44"/>
      <c r="W184" s="44"/>
      <c r="X184" s="44"/>
      <c r="Y184" s="44"/>
      <c r="Z184" s="44"/>
      <c r="AA184" s="44"/>
      <c r="AB184" s="225"/>
      <c r="AC184" s="44"/>
      <c r="AD184" s="44"/>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7" s="31" customFormat="1" ht="15.5" x14ac:dyDescent="0.3">
      <c r="B185" s="54" t="s">
        <v>286</v>
      </c>
      <c r="C185" s="160"/>
      <c r="D185" s="84" t="s">
        <v>281</v>
      </c>
      <c r="G185" s="34"/>
      <c r="H185" s="84"/>
      <c r="J185" s="33"/>
      <c r="K185" s="38" t="s">
        <v>329</v>
      </c>
      <c r="L185" s="38" t="s">
        <v>201</v>
      </c>
      <c r="M185" s="84"/>
      <c r="N185" s="84"/>
      <c r="O185" s="100"/>
      <c r="Q185" s="35"/>
      <c r="R185" s="218" t="str">
        <f>IF(AND(ISNUMBER(G186),ISNUMBER(C185)),SUM(R186,R189:R191),"")</f>
        <v/>
      </c>
      <c r="S185" s="102" t="s">
        <v>172</v>
      </c>
      <c r="T185" s="44"/>
      <c r="U185" s="44"/>
      <c r="V185" s="44"/>
      <c r="W185" s="44"/>
      <c r="X185" s="44"/>
      <c r="Y185" s="44"/>
      <c r="Z185" s="44"/>
      <c r="AA185" s="44"/>
      <c r="AB185" s="225"/>
      <c r="AC185" s="44"/>
      <c r="AD185" s="44"/>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7" s="31" customFormat="1" ht="46.5" x14ac:dyDescent="0.3">
      <c r="B186" s="155" t="s">
        <v>728</v>
      </c>
      <c r="C186" s="396" t="s">
        <v>283</v>
      </c>
      <c r="D186" s="397"/>
      <c r="G186" s="156"/>
      <c r="H186" s="84" t="s">
        <v>5</v>
      </c>
      <c r="J186" s="173" t="s">
        <v>441</v>
      </c>
      <c r="K186" s="96">
        <f>IF(ISNUMBER(L186),L186,IF(C186=Pudotusvalikot!$N$4,Kalusto!$G$105,IF(C186=Pudotusvalikot!$N$5,Kalusto!$G$106,IF(C186=Pudotusvalikot!$N$6,Kalusto!$G$107,IF(C186=Pudotusvalikot!$N$7,Kalusto!$G$108,Kalusto!$G$105))))*IF(OR(C188=Pudotusvalikot!$V$3,C188=Pudotusvalikot!$V$4),Muut!$E$38,IF(C188=Pudotusvalikot!$V$5,Muut!$E$39,IF(C188=Pudotusvalikot!$V$6,Muut!$E$40,Muut!$E$41))))</f>
        <v>4.9950000000000001E-2</v>
      </c>
      <c r="L186" s="40"/>
      <c r="M186" s="41" t="s">
        <v>200</v>
      </c>
      <c r="N186" s="41"/>
      <c r="O186" s="265"/>
      <c r="Q186" s="35"/>
      <c r="R186" s="218" t="str">
        <f>IF(ISNUMBER(Y187*X187*K186),Y187*X187*K186,"")</f>
        <v/>
      </c>
      <c r="S186" s="102" t="s">
        <v>172</v>
      </c>
      <c r="T186" s="44" t="s">
        <v>446</v>
      </c>
      <c r="U186" s="44" t="s">
        <v>384</v>
      </c>
      <c r="V186" s="44" t="s">
        <v>443</v>
      </c>
      <c r="W186" s="44" t="s">
        <v>444</v>
      </c>
      <c r="X186" s="44" t="s">
        <v>447</v>
      </c>
      <c r="Y186" s="44" t="s">
        <v>449</v>
      </c>
      <c r="Z186" s="44" t="s">
        <v>374</v>
      </c>
      <c r="AA186" s="44"/>
      <c r="AB186" s="225"/>
      <c r="AC186" s="44"/>
      <c r="AD186" s="44"/>
      <c r="AE186" s="36"/>
      <c r="AF186" s="36"/>
      <c r="AG186" s="36"/>
      <c r="AH186" s="36"/>
      <c r="AI186" s="36"/>
      <c r="AJ186" s="36"/>
      <c r="AK186" s="36"/>
      <c r="AL186" s="36"/>
      <c r="AM186" s="36"/>
      <c r="AN186" s="37"/>
      <c r="AO186" s="37"/>
      <c r="AP186" s="37"/>
      <c r="AQ186" s="37"/>
      <c r="AR186" s="37"/>
      <c r="AS186" s="37"/>
      <c r="AT186" s="37"/>
      <c r="AU186" s="37"/>
      <c r="AV186" s="37"/>
      <c r="AW186" s="37"/>
      <c r="AX186" s="37"/>
      <c r="AY186" s="37"/>
      <c r="AZ186" s="37"/>
      <c r="BA186" s="37"/>
      <c r="BB186" s="37"/>
      <c r="BC186" s="37"/>
      <c r="BD186" s="37"/>
      <c r="BE186" s="37"/>
    </row>
    <row r="187" spans="2:57" s="31" customFormat="1" ht="15.5" x14ac:dyDescent="0.3">
      <c r="B187" s="78" t="s">
        <v>377</v>
      </c>
      <c r="C187" s="392" t="s">
        <v>93</v>
      </c>
      <c r="D187" s="393"/>
      <c r="E187" s="393"/>
      <c r="F187" s="393"/>
      <c r="G187" s="394"/>
      <c r="J187" s="33"/>
      <c r="K187" s="38" t="s">
        <v>329</v>
      </c>
      <c r="L187" s="38" t="s">
        <v>201</v>
      </c>
      <c r="M187" s="41"/>
      <c r="N187" s="41"/>
      <c r="O187" s="265"/>
      <c r="Q187" s="47"/>
      <c r="R187" s="225"/>
      <c r="S187" s="36"/>
      <c r="T187" s="216" t="str">
        <f>IF(ISNUMBER(L186),"Kohdetieto",IF(OR(C187=Pudotusvalikot!$D$14,C187=Pudotusvalikot!$D$15),Kalusto!$I$96,VLOOKUP(C187,Kalusto!$C$44:$L$83,7,FALSE)))</f>
        <v>Puoliperävaunu</v>
      </c>
      <c r="U187" s="216">
        <f>IF(ISNUMBER(L186),"Kohdetieto",IF(OR(C187=Pudotusvalikot!$D$14,C187=Pudotusvalikot!$D$15),Kalusto!$J$96,VLOOKUP(C187,Kalusto!$C$44:$L$83,8,FALSE)))</f>
        <v>40</v>
      </c>
      <c r="V187" s="217">
        <f>IF(ISNUMBER(L186),"Kohdetieto",IF(OR(C187=Pudotusvalikot!$D$14,C187=Pudotusvalikot!$D$15),Kalusto!$K$96,VLOOKUP(C187,Kalusto!$C$44:$L$83,9,FALSE)))</f>
        <v>0.8</v>
      </c>
      <c r="W187" s="217" t="str">
        <f>IF(ISNUMBER(L186),"Kohdetieto",IF(OR(C187=Pudotusvalikot!$D$14,C187=Pudotusvalikot!$D$15),Kalusto!$L$96,VLOOKUP(C187,Kalusto!$C$44:$L$83,10,FALSE)))</f>
        <v>maantieajo</v>
      </c>
      <c r="X187" s="218" t="str">
        <f>IF(ISBLANK(C185),"",C185/1000)</f>
        <v/>
      </c>
      <c r="Y187" s="216" t="str">
        <f>IF(ISNUMBER(G186),G186,"")</f>
        <v/>
      </c>
      <c r="Z187" s="219">
        <f>IF(ISNUMBER(L186),L186,K186)</f>
        <v>4.9950000000000001E-2</v>
      </c>
      <c r="AA187" s="44"/>
      <c r="AB187" s="225"/>
      <c r="AC187" s="44"/>
      <c r="AD187" s="44"/>
      <c r="AE187" s="36"/>
      <c r="AF187" s="36"/>
      <c r="AG187" s="36"/>
      <c r="AH187" s="36"/>
      <c r="AI187" s="36"/>
      <c r="AJ187" s="36"/>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7" s="31" customFormat="1" ht="15.5" x14ac:dyDescent="0.3">
      <c r="B188" s="78" t="s">
        <v>506</v>
      </c>
      <c r="C188" s="160" t="s">
        <v>242</v>
      </c>
      <c r="D188" s="34"/>
      <c r="E188" s="34"/>
      <c r="F188" s="34"/>
      <c r="G188" s="34"/>
      <c r="H188" s="59"/>
      <c r="J188" s="173"/>
      <c r="K188" s="173"/>
      <c r="L188" s="173"/>
      <c r="M188" s="41"/>
      <c r="N188" s="41"/>
      <c r="O188" s="265"/>
      <c r="Q188" s="47"/>
      <c r="R188" s="44"/>
      <c r="S188" s="36"/>
      <c r="T188" s="44"/>
      <c r="U188" s="44"/>
      <c r="V188" s="220"/>
      <c r="W188" s="220"/>
      <c r="X188" s="221"/>
      <c r="Y188" s="44"/>
      <c r="Z188" s="221"/>
      <c r="AA188" s="222"/>
      <c r="AB188" s="221"/>
      <c r="AC188" s="221"/>
      <c r="AD188" s="221"/>
      <c r="AE188" s="61"/>
      <c r="AF188" s="182"/>
      <c r="AG188" s="61"/>
      <c r="AH188" s="36"/>
      <c r="AI188" s="36"/>
      <c r="AJ188" s="36"/>
      <c r="AK188" s="108"/>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7" s="31" customFormat="1" ht="15.5" x14ac:dyDescent="0.3">
      <c r="B189" s="155" t="s">
        <v>543</v>
      </c>
      <c r="C189" s="395" t="s">
        <v>283</v>
      </c>
      <c r="D189" s="395"/>
      <c r="G189" s="156"/>
      <c r="H189" s="84" t="s">
        <v>5</v>
      </c>
      <c r="J189" s="33" t="str">
        <f>IF(C189="Kuljetus","Ei oletusta","Oletus (" &amp; IF(C189="Tiekuljetus",Kalusto!$C$105,IF(C189="Raidekuljetus",Kalusto!$C$106,IF(C189="Laivarahti",Kalusto!$C$107,Kalusto!$C$108))) &amp; ")" )</f>
        <v>Oletus (Puoliperävaunuyhdistelmä, 40 t, 100 % kuorma, maantieajo)</v>
      </c>
      <c r="K189" s="96">
        <f>IF(ISNUMBER(L189),L189,IF(C189=Pudotusvalikot!$N$4,Kalusto!$G$105,IF(C189=Pudotusvalikot!$N$5,Kalusto!$G$106,IF(C189=Pudotusvalikot!$N$6,Kalusto!$G$107,IF(C189=Pudotusvalikot!$N$7,Kalusto!$G$108,Kalusto!$G$105)))))</f>
        <v>4.9950000000000001E-2</v>
      </c>
      <c r="L189" s="40"/>
      <c r="M189" s="41" t="s">
        <v>200</v>
      </c>
      <c r="N189" s="41"/>
      <c r="O189" s="265"/>
      <c r="Q189" s="35"/>
      <c r="R189" s="218" t="str">
        <f>IF(AND(ISNUMBER(G187)*ISNUMBER(C185)),K189*G189*C185,"")</f>
        <v/>
      </c>
      <c r="S189" s="102" t="s">
        <v>172</v>
      </c>
      <c r="T189" s="225"/>
      <c r="U189" s="44"/>
      <c r="V189" s="44"/>
      <c r="W189" s="44"/>
      <c r="X189" s="44"/>
      <c r="Y189" s="44"/>
      <c r="Z189" s="44"/>
      <c r="AA189" s="44"/>
      <c r="AB189" s="44"/>
      <c r="AC189" s="44"/>
      <c r="AD189" s="44"/>
      <c r="AE189" s="36"/>
      <c r="AF189" s="36"/>
      <c r="AG189" s="36"/>
      <c r="AH189" s="36"/>
      <c r="AI189" s="36"/>
      <c r="AJ189" s="36"/>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7" s="31" customFormat="1" ht="15.5" x14ac:dyDescent="0.3">
      <c r="B190" s="155" t="s">
        <v>543</v>
      </c>
      <c r="C190" s="395" t="s">
        <v>284</v>
      </c>
      <c r="D190" s="395"/>
      <c r="G190" s="156"/>
      <c r="H190" s="84" t="s">
        <v>5</v>
      </c>
      <c r="J190" s="33" t="str">
        <f>IF(C190="Kuljetus","Ei oletusta","Oletus (" &amp; IF(C190="Tiekuljetus",Kalusto!$C$105,IF(C190="Raidekuljetus",Kalusto!$C$106,IF(C190="Laivarahti",Kalusto!$C$107,Kalusto!$C$108))) &amp; ")" )</f>
        <v>Oletus (Merikuljetus, konttilaiva, 1000 TEU)</v>
      </c>
      <c r="K190" s="96">
        <f>IF(ISNUMBER(L190),L190,IF(C190=Pudotusvalikot!$N$4,Kalusto!$G$105,IF(C190=Pudotusvalikot!$N$5,Kalusto!$G$106,IF(C190=Pudotusvalikot!$N$6,Kalusto!$G$107,IF(C190=Pudotusvalikot!$N$7,Kalusto!$G$108,"--")))))</f>
        <v>4.4999999999999998E-2</v>
      </c>
      <c r="L190" s="40"/>
      <c r="M190" s="41" t="s">
        <v>200</v>
      </c>
      <c r="N190" s="41"/>
      <c r="O190" s="265"/>
      <c r="Q190" s="35"/>
      <c r="R190" s="218" t="str">
        <f>IF(AND(ISNUMBER(G187)*ISNUMBER(C185)),K190*G190*C185,"")</f>
        <v/>
      </c>
      <c r="S190" s="102" t="s">
        <v>172</v>
      </c>
      <c r="T190" s="225"/>
      <c r="U190" s="44"/>
      <c r="V190" s="44"/>
      <c r="W190" s="44"/>
      <c r="X190" s="44"/>
      <c r="Y190" s="44"/>
      <c r="Z190" s="44"/>
      <c r="AA190" s="44"/>
      <c r="AB190" s="44"/>
      <c r="AC190" s="44"/>
      <c r="AD190" s="44"/>
      <c r="AE190" s="36"/>
      <c r="AF190" s="36"/>
      <c r="AG190" s="36"/>
      <c r="AH190" s="36"/>
      <c r="AI190" s="36"/>
      <c r="AJ190" s="36"/>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7" s="31" customFormat="1" ht="15.5" x14ac:dyDescent="0.3">
      <c r="B191" s="155" t="s">
        <v>543</v>
      </c>
      <c r="C191" s="395" t="s">
        <v>283</v>
      </c>
      <c r="D191" s="395"/>
      <c r="G191" s="156"/>
      <c r="H191" s="84" t="s">
        <v>5</v>
      </c>
      <c r="J191" s="33" t="str">
        <f>IF(C191="Kuljetus","Ei oletusta","Oletus (" &amp; IF(C191="Tiekuljetus",Kalusto!$C$105,IF(C191="Raidekuljetus",Kalusto!$C$106,IF(C191="Laivarahti",Kalusto!$C$107,Kalusto!$C$108))) &amp; ")" )</f>
        <v>Oletus (Puoliperävaunuyhdistelmä, 40 t, 100 % kuorma, maantieajo)</v>
      </c>
      <c r="K191" s="96">
        <f>IF(ISNUMBER(L191),L191,IF(C191=Pudotusvalikot!$N$4,Kalusto!$G$105,IF(C191=Pudotusvalikot!$N$5,Kalusto!$G$106,IF(C191=Pudotusvalikot!$N$6,Kalusto!$G$107,IF(C191=Pudotusvalikot!$N$7,Kalusto!$G$108,"--")))))</f>
        <v>4.9950000000000001E-2</v>
      </c>
      <c r="L191" s="40"/>
      <c r="M191" s="41" t="s">
        <v>200</v>
      </c>
      <c r="N191" s="41"/>
      <c r="O191" s="265"/>
      <c r="Q191" s="35"/>
      <c r="R191" s="218" t="str">
        <f>IF(AND(ISNUMBER(G187)*ISNUMBER(C185)),K191*G191*C185,"")</f>
        <v/>
      </c>
      <c r="S191" s="102" t="s">
        <v>172</v>
      </c>
      <c r="T191" s="225"/>
      <c r="U191" s="44"/>
      <c r="V191" s="44"/>
      <c r="W191" s="44"/>
      <c r="X191" s="44"/>
      <c r="Y191" s="44"/>
      <c r="Z191" s="44"/>
      <c r="AA191" s="44"/>
      <c r="AB191" s="44"/>
      <c r="AC191" s="44"/>
      <c r="AD191" s="44"/>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7" s="31" customFormat="1" ht="15.5" x14ac:dyDescent="0.3">
      <c r="C192" s="34"/>
      <c r="D192" s="84"/>
      <c r="G192" s="34"/>
      <c r="H192" s="84"/>
      <c r="J192" s="33"/>
      <c r="K192" s="34"/>
      <c r="L192" s="34"/>
      <c r="M192" s="84"/>
      <c r="N192" s="84"/>
      <c r="O192" s="84"/>
      <c r="Q192" s="35"/>
      <c r="R192" s="106"/>
      <c r="S192" s="36"/>
      <c r="T192" s="44"/>
      <c r="U192" s="44"/>
      <c r="V192" s="44"/>
      <c r="W192" s="44"/>
      <c r="X192" s="44"/>
      <c r="Y192" s="44"/>
      <c r="Z192" s="44"/>
      <c r="AA192" s="44"/>
      <c r="AB192" s="44"/>
      <c r="AC192" s="44"/>
      <c r="AD192" s="44"/>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298" customFormat="1" ht="18" x14ac:dyDescent="0.3">
      <c r="B193" s="295" t="s">
        <v>651</v>
      </c>
      <c r="C193" s="296"/>
      <c r="D193" s="297"/>
      <c r="G193" s="296"/>
      <c r="H193" s="297"/>
      <c r="K193" s="296"/>
      <c r="L193" s="296"/>
      <c r="M193" s="297"/>
      <c r="N193" s="297"/>
      <c r="O193" s="300"/>
      <c r="P193" s="320"/>
      <c r="Q193" s="304"/>
      <c r="S193" s="303"/>
      <c r="T193" s="303"/>
      <c r="U193" s="303"/>
      <c r="V193" s="303"/>
      <c r="W193" s="303"/>
      <c r="X193" s="303"/>
      <c r="Y193" s="303"/>
      <c r="Z193" s="303"/>
      <c r="AA193" s="303"/>
      <c r="AB193" s="303"/>
      <c r="AC193" s="303"/>
      <c r="AD193" s="303"/>
      <c r="AE193" s="303"/>
      <c r="AF193" s="303"/>
      <c r="AG193" s="303"/>
      <c r="AH193" s="303"/>
      <c r="AI193" s="303"/>
      <c r="AJ193" s="303"/>
      <c r="AK193" s="303"/>
      <c r="AL193" s="303"/>
      <c r="AM193" s="303"/>
      <c r="AN193" s="304"/>
      <c r="AO193" s="304"/>
      <c r="AP193" s="304"/>
      <c r="AQ193" s="304"/>
      <c r="AR193" s="304"/>
      <c r="AS193" s="304"/>
      <c r="AT193" s="304"/>
      <c r="AU193" s="304"/>
      <c r="AV193" s="304"/>
      <c r="AW193" s="304"/>
      <c r="AX193" s="304"/>
      <c r="AY193" s="304"/>
      <c r="AZ193" s="304"/>
      <c r="BA193" s="304"/>
      <c r="BB193" s="304"/>
      <c r="BC193" s="304"/>
      <c r="BD193" s="304"/>
      <c r="BE193" s="304"/>
    </row>
    <row r="194" spans="2:59" s="31" customFormat="1" ht="15.5" x14ac:dyDescent="0.3">
      <c r="B194" s="9"/>
      <c r="C194" s="34"/>
      <c r="D194" s="84"/>
      <c r="G194" s="34"/>
      <c r="H194" s="84"/>
      <c r="J194" s="33"/>
      <c r="P194" s="69"/>
      <c r="Q194" s="108"/>
      <c r="R194" s="241"/>
      <c r="S194" s="108"/>
      <c r="T194" s="174"/>
      <c r="U194" s="44"/>
      <c r="V194" s="44"/>
      <c r="W194" s="44"/>
      <c r="X194" s="44"/>
      <c r="Y194" s="44"/>
      <c r="Z194" s="44"/>
      <c r="AA194" s="44"/>
      <c r="AB194" s="44"/>
      <c r="AC194" s="44"/>
      <c r="AD194" s="44"/>
      <c r="AE194" s="36"/>
      <c r="AF194" s="36"/>
      <c r="AG194" s="36"/>
      <c r="AH194" s="36"/>
      <c r="AI194" s="36"/>
      <c r="AJ194" s="36"/>
      <c r="AK194" s="36"/>
      <c r="AL194" s="36"/>
      <c r="AM194" s="36"/>
      <c r="AN194" s="36"/>
      <c r="AO194" s="36"/>
      <c r="AP194" s="37"/>
      <c r="AQ194" s="37"/>
      <c r="AR194" s="37"/>
      <c r="AS194" s="37"/>
      <c r="AT194" s="37"/>
      <c r="AU194" s="37"/>
      <c r="AV194" s="37"/>
      <c r="AW194" s="37"/>
      <c r="AX194" s="37"/>
      <c r="AY194" s="37"/>
      <c r="AZ194" s="37"/>
      <c r="BA194" s="37"/>
      <c r="BB194" s="37"/>
      <c r="BC194" s="37"/>
      <c r="BD194" s="37"/>
      <c r="BE194" s="37"/>
      <c r="BF194" s="37"/>
      <c r="BG194" s="37"/>
    </row>
    <row r="195" spans="2:59" s="31" customFormat="1" ht="15.5" x14ac:dyDescent="0.3">
      <c r="B195" s="164" t="s">
        <v>487</v>
      </c>
      <c r="D195" s="84"/>
      <c r="H195" s="84"/>
      <c r="J195" s="33"/>
      <c r="K195" s="38" t="s">
        <v>329</v>
      </c>
      <c r="L195" s="38" t="s">
        <v>201</v>
      </c>
      <c r="M195" s="84"/>
      <c r="N195" s="84"/>
      <c r="O195" s="255" t="s">
        <v>644</v>
      </c>
      <c r="P195" s="69"/>
      <c r="Q195" s="37"/>
      <c r="R195" s="44" t="s">
        <v>350</v>
      </c>
      <c r="S195" s="36"/>
      <c r="T195" s="44" t="s">
        <v>50</v>
      </c>
      <c r="U195" s="44" t="s">
        <v>351</v>
      </c>
      <c r="V195" s="44" t="s">
        <v>352</v>
      </c>
      <c r="W195" s="225"/>
      <c r="X195" s="44"/>
      <c r="Y195" s="44"/>
      <c r="Z195" s="44"/>
      <c r="AA195" s="44"/>
      <c r="AB195" s="44"/>
      <c r="AC195" s="44"/>
      <c r="AD195" s="44"/>
      <c r="AE195" s="36"/>
      <c r="AF195" s="36"/>
      <c r="AG195" s="36"/>
      <c r="AH195" s="36"/>
      <c r="AI195" s="36"/>
      <c r="AJ195" s="36"/>
      <c r="AK195" s="36"/>
      <c r="AL195" s="36"/>
      <c r="AM195" s="36"/>
      <c r="AN195" s="37"/>
      <c r="AO195" s="37"/>
      <c r="AP195" s="37"/>
      <c r="AQ195" s="37"/>
      <c r="AR195" s="37"/>
      <c r="AS195" s="37"/>
      <c r="AT195" s="37"/>
      <c r="AU195" s="37"/>
      <c r="AV195" s="37"/>
      <c r="AW195" s="37"/>
      <c r="AX195" s="37"/>
      <c r="AY195" s="37"/>
      <c r="AZ195" s="37"/>
      <c r="BA195" s="37"/>
      <c r="BB195" s="37"/>
      <c r="BC195" s="37"/>
      <c r="BD195" s="37"/>
      <c r="BE195" s="37"/>
    </row>
    <row r="196" spans="2:59" s="31" customFormat="1" ht="15.5" x14ac:dyDescent="0.3">
      <c r="B196" s="54" t="s">
        <v>472</v>
      </c>
      <c r="C196" s="183"/>
      <c r="D196" s="84" t="s">
        <v>210</v>
      </c>
      <c r="H196" s="84"/>
      <c r="J196" s="33" t="s">
        <v>470</v>
      </c>
      <c r="K196" s="96" t="str">
        <f>IF(ISNUMBER(L196),L196,IF(OR(C197=Pudotusvalikot!$D$67,C197=Pudotusvalikot!$D$68),"--",VLOOKUP(C197,Kalusto!$C$5:$E$42,3,FALSE)*IF(OR(C198=Pudotusvalikot!$V$3,C198=Pudotusvalikot!$V$4),Muut!$E$38,IF(C198=Pudotusvalikot!$V$5,Muut!$E$39,IF(C198=Pudotusvalikot!$V$6,Muut!$E$40,Muut!$E$41)))))</f>
        <v>--</v>
      </c>
      <c r="L196" s="40"/>
      <c r="M196" s="41" t="s">
        <v>205</v>
      </c>
      <c r="N196" s="41"/>
      <c r="O196" s="256"/>
      <c r="P196" s="151"/>
      <c r="Q196" s="37"/>
      <c r="R196" s="218" t="str">
        <f>IF(ISNUMBER(K196*V196),K196*V196,"")</f>
        <v/>
      </c>
      <c r="S196" s="102" t="s">
        <v>172</v>
      </c>
      <c r="T196" s="218" t="str">
        <f>IF(ISNUMBER(C196),C196,"")</f>
        <v/>
      </c>
      <c r="U196" s="224" t="str">
        <f>IF(D199="h","",IF(ISNUMBER(C199),C199,""))</f>
        <v/>
      </c>
      <c r="V196" s="218" t="str">
        <f>IF(ISNUMBER(T196),IF(D199="h",C199,IF(ISNUMBER(T196*U196),IF(D199="m3/h",T196/U196,T196*U196),"")),"")</f>
        <v/>
      </c>
      <c r="W196" s="225"/>
      <c r="X196" s="221"/>
      <c r="Y196" s="44"/>
      <c r="Z196" s="44"/>
      <c r="AA196" s="226"/>
      <c r="AB196" s="44"/>
      <c r="AC196" s="44"/>
      <c r="AD196" s="44"/>
      <c r="AE196" s="36"/>
      <c r="AF196" s="36"/>
      <c r="AG196" s="36"/>
      <c r="AH196" s="36"/>
      <c r="AI196" s="36"/>
      <c r="AJ196" s="36"/>
      <c r="AK196" s="36"/>
      <c r="AL196" s="36"/>
      <c r="AM196" s="36"/>
      <c r="AN196" s="37"/>
      <c r="AO196" s="37"/>
      <c r="AP196" s="37"/>
      <c r="AQ196" s="37"/>
      <c r="AR196" s="37"/>
      <c r="AS196" s="37"/>
      <c r="AT196" s="37"/>
      <c r="AU196" s="37"/>
      <c r="AV196" s="37"/>
      <c r="AW196" s="37"/>
      <c r="AX196" s="37"/>
      <c r="AY196" s="37"/>
      <c r="AZ196" s="37"/>
      <c r="BA196" s="37"/>
      <c r="BB196" s="37"/>
      <c r="BC196" s="37"/>
      <c r="BD196" s="37"/>
      <c r="BE196" s="37"/>
    </row>
    <row r="197" spans="2:59" s="31" customFormat="1" ht="15.5" x14ac:dyDescent="0.3">
      <c r="B197" s="54" t="s">
        <v>510</v>
      </c>
      <c r="C197" s="392" t="s">
        <v>332</v>
      </c>
      <c r="D197" s="393"/>
      <c r="E197" s="393"/>
      <c r="F197" s="393"/>
      <c r="G197" s="394"/>
      <c r="H197" s="84"/>
      <c r="J197" s="33"/>
      <c r="M197" s="84"/>
      <c r="N197" s="84"/>
      <c r="O197" s="100"/>
      <c r="P197" s="69"/>
      <c r="Q197" s="37"/>
      <c r="R197" s="44"/>
      <c r="S197" s="36"/>
      <c r="T197" s="44"/>
      <c r="U197" s="44"/>
      <c r="V197" s="44"/>
      <c r="W197" s="225"/>
      <c r="X197" s="44"/>
      <c r="Y197" s="44"/>
      <c r="Z197" s="44"/>
      <c r="AA197" s="44"/>
      <c r="AB197" s="44"/>
      <c r="AC197" s="44"/>
      <c r="AD197" s="44"/>
      <c r="AE197" s="36"/>
      <c r="AF197" s="36"/>
      <c r="AG197" s="36"/>
      <c r="AH197" s="36"/>
      <c r="AI197" s="36"/>
      <c r="AJ197" s="36"/>
      <c r="AK197" s="36"/>
      <c r="AL197" s="36"/>
      <c r="AM197" s="36"/>
      <c r="AN197" s="37"/>
      <c r="AO197" s="37"/>
      <c r="AP197" s="37"/>
      <c r="AQ197" s="37"/>
      <c r="AR197" s="37"/>
      <c r="AS197" s="37"/>
      <c r="AT197" s="37"/>
      <c r="AU197" s="37"/>
      <c r="AV197" s="37"/>
      <c r="AW197" s="37"/>
      <c r="AX197" s="37"/>
      <c r="AY197" s="37"/>
      <c r="AZ197" s="37"/>
      <c r="BA197" s="37"/>
      <c r="BB197" s="37"/>
      <c r="BC197" s="37"/>
      <c r="BD197" s="37"/>
      <c r="BE197" s="37"/>
    </row>
    <row r="198" spans="2:59" s="31" customFormat="1" ht="15.5" x14ac:dyDescent="0.3">
      <c r="B198" s="170" t="s">
        <v>509</v>
      </c>
      <c r="C198" s="160" t="s">
        <v>242</v>
      </c>
      <c r="D198" s="34"/>
      <c r="E198" s="34"/>
      <c r="F198" s="34"/>
      <c r="G198" s="34"/>
      <c r="H198" s="59"/>
      <c r="J198" s="173"/>
      <c r="K198" s="173"/>
      <c r="L198" s="173"/>
      <c r="M198" s="41"/>
      <c r="N198" s="41"/>
      <c r="O198" s="265"/>
      <c r="Q198" s="47"/>
      <c r="R198" s="221"/>
      <c r="S198" s="102"/>
      <c r="T198" s="44"/>
      <c r="U198" s="44"/>
      <c r="V198" s="220"/>
      <c r="W198" s="220"/>
      <c r="X198" s="221"/>
      <c r="Y198" s="44"/>
      <c r="Z198" s="221"/>
      <c r="AA198" s="222"/>
      <c r="AB198" s="221"/>
      <c r="AC198" s="221"/>
      <c r="AD198" s="221"/>
      <c r="AE198" s="61"/>
      <c r="AF198" s="182"/>
      <c r="AG198" s="61"/>
      <c r="AH198" s="36"/>
      <c r="AI198" s="36"/>
      <c r="AJ198" s="36"/>
      <c r="AK198" s="108"/>
      <c r="AL198" s="36"/>
      <c r="AM198" s="36"/>
      <c r="AN198" s="37"/>
      <c r="AO198" s="37"/>
      <c r="AP198" s="37"/>
      <c r="AQ198" s="37"/>
      <c r="AR198" s="37"/>
      <c r="AS198" s="37"/>
      <c r="AT198" s="37"/>
      <c r="AU198" s="37"/>
      <c r="AV198" s="37"/>
      <c r="AW198" s="37"/>
      <c r="AX198" s="37"/>
      <c r="AY198" s="37"/>
      <c r="AZ198" s="37"/>
      <c r="BA198" s="37"/>
      <c r="BB198" s="37"/>
      <c r="BC198" s="37"/>
      <c r="BD198" s="37"/>
      <c r="BE198" s="37"/>
    </row>
    <row r="199" spans="2:59" s="31" customFormat="1" ht="31" x14ac:dyDescent="0.3">
      <c r="B199" s="78" t="s">
        <v>511</v>
      </c>
      <c r="C199" s="184"/>
      <c r="D199" s="89" t="s">
        <v>209</v>
      </c>
      <c r="H199" s="84"/>
      <c r="J199" s="33"/>
      <c r="M199" s="84"/>
      <c r="N199" s="84"/>
      <c r="O199" s="100"/>
      <c r="P199" s="149"/>
      <c r="Q199" s="105"/>
      <c r="R199" s="44"/>
      <c r="S199" s="36"/>
      <c r="T199" s="44"/>
      <c r="U199" s="44"/>
      <c r="V199" s="44"/>
      <c r="W199" s="225"/>
      <c r="X199" s="44"/>
      <c r="Y199" s="44"/>
      <c r="Z199" s="44"/>
      <c r="AA199" s="44"/>
      <c r="AB199" s="44"/>
      <c r="AC199" s="44"/>
      <c r="AD199" s="44"/>
      <c r="AE199" s="36"/>
      <c r="AF199" s="36"/>
      <c r="AG199" s="36"/>
      <c r="AH199" s="36"/>
      <c r="AI199" s="36"/>
      <c r="AJ199" s="36"/>
      <c r="AK199" s="36"/>
      <c r="AL199" s="36"/>
      <c r="AM199" s="36"/>
      <c r="AN199" s="37"/>
      <c r="AO199" s="37"/>
      <c r="AP199" s="37"/>
      <c r="AQ199" s="37"/>
      <c r="AR199" s="37"/>
      <c r="AS199" s="37"/>
      <c r="AT199" s="37"/>
      <c r="AU199" s="37"/>
      <c r="AV199" s="37"/>
      <c r="AW199" s="37"/>
      <c r="AX199" s="37"/>
      <c r="AY199" s="37"/>
      <c r="AZ199" s="37"/>
      <c r="BA199" s="37"/>
      <c r="BB199" s="37"/>
      <c r="BC199" s="37"/>
      <c r="BD199" s="37"/>
      <c r="BE199" s="37"/>
    </row>
    <row r="200" spans="2:59" s="31" customFormat="1" ht="15.5" x14ac:dyDescent="0.3">
      <c r="D200" s="84"/>
      <c r="H200" s="84"/>
      <c r="J200" s="33"/>
      <c r="M200" s="84"/>
      <c r="N200" s="84"/>
      <c r="O200" s="100"/>
      <c r="P200" s="69"/>
      <c r="Q200" s="37"/>
      <c r="R200" s="44"/>
      <c r="S200" s="36"/>
      <c r="T200" s="44"/>
      <c r="U200" s="44"/>
      <c r="V200" s="44"/>
      <c r="W200" s="225"/>
      <c r="X200" s="44"/>
      <c r="Y200" s="44"/>
      <c r="Z200" s="44"/>
      <c r="AA200" s="44"/>
      <c r="AB200" s="44"/>
      <c r="AC200" s="44"/>
      <c r="AD200" s="44"/>
      <c r="AE200" s="36"/>
      <c r="AF200" s="36"/>
      <c r="AG200" s="36"/>
      <c r="AH200" s="36"/>
      <c r="AI200" s="36"/>
      <c r="AJ200" s="36"/>
      <c r="AK200" s="36"/>
      <c r="AL200" s="36"/>
      <c r="AM200" s="36"/>
      <c r="AN200" s="37"/>
      <c r="AO200" s="37"/>
      <c r="AP200" s="37"/>
      <c r="AQ200" s="37"/>
      <c r="AR200" s="37"/>
      <c r="AS200" s="37"/>
      <c r="AT200" s="37"/>
      <c r="AU200" s="37"/>
      <c r="AV200" s="37"/>
      <c r="AW200" s="37"/>
      <c r="AX200" s="37"/>
      <c r="AY200" s="37"/>
      <c r="AZ200" s="37"/>
      <c r="BA200" s="37"/>
      <c r="BB200" s="37"/>
      <c r="BC200" s="37"/>
      <c r="BD200" s="37"/>
      <c r="BE200" s="37"/>
    </row>
    <row r="201" spans="2:59" s="31" customFormat="1" ht="15.5" x14ac:dyDescent="0.3">
      <c r="B201" s="164" t="s">
        <v>488</v>
      </c>
      <c r="D201" s="84"/>
      <c r="H201" s="84"/>
      <c r="J201" s="33"/>
      <c r="K201" s="38" t="s">
        <v>329</v>
      </c>
      <c r="L201" s="38" t="s">
        <v>201</v>
      </c>
      <c r="M201" s="84"/>
      <c r="N201" s="84"/>
      <c r="O201" s="100"/>
      <c r="P201" s="69"/>
      <c r="Q201" s="37"/>
      <c r="R201" s="44" t="s">
        <v>350</v>
      </c>
      <c r="S201" s="36"/>
      <c r="T201" s="44" t="s">
        <v>50</v>
      </c>
      <c r="U201" s="44" t="s">
        <v>351</v>
      </c>
      <c r="V201" s="44" t="s">
        <v>352</v>
      </c>
      <c r="W201" s="225"/>
      <c r="X201" s="44"/>
      <c r="Y201" s="44"/>
      <c r="Z201" s="44"/>
      <c r="AA201" s="44"/>
      <c r="AB201" s="44"/>
      <c r="AC201" s="44"/>
      <c r="AD201" s="44"/>
      <c r="AE201" s="36"/>
      <c r="AF201" s="36"/>
      <c r="AG201" s="36"/>
      <c r="AH201" s="36"/>
      <c r="AI201" s="36"/>
      <c r="AJ201" s="36"/>
      <c r="AK201" s="36"/>
      <c r="AL201" s="36"/>
      <c r="AM201" s="36"/>
      <c r="AN201" s="37"/>
      <c r="AO201" s="37"/>
      <c r="AP201" s="37"/>
      <c r="AQ201" s="37"/>
      <c r="AR201" s="37"/>
      <c r="AS201" s="37"/>
      <c r="AT201" s="37"/>
      <c r="AU201" s="37"/>
      <c r="AV201" s="37"/>
      <c r="AW201" s="37"/>
      <c r="AX201" s="37"/>
      <c r="AY201" s="37"/>
      <c r="AZ201" s="37"/>
      <c r="BA201" s="37"/>
      <c r="BB201" s="37"/>
      <c r="BC201" s="37"/>
      <c r="BD201" s="37"/>
      <c r="BE201" s="37"/>
    </row>
    <row r="202" spans="2:59" s="31" customFormat="1" ht="15.5" x14ac:dyDescent="0.3">
      <c r="B202" s="54" t="s">
        <v>472</v>
      </c>
      <c r="C202" s="183"/>
      <c r="D202" s="84" t="s">
        <v>210</v>
      </c>
      <c r="H202" s="84"/>
      <c r="J202" s="33" t="s">
        <v>470</v>
      </c>
      <c r="K202" s="96" t="str">
        <f>IF(ISNUMBER(L202),L202,IF(OR(C203=Pudotusvalikot!$D$67,C203=Pudotusvalikot!$D$68),"--",VLOOKUP(C203,Kalusto!$C$5:$E$42,3,FALSE)*IF(OR(C204=Pudotusvalikot!$V$3,C204=Pudotusvalikot!$V$4),Muut!$E$38,IF(C204=Pudotusvalikot!$V$5,Muut!$E$39,IF(C204=Pudotusvalikot!$V$6,Muut!$E$40,Muut!$E$41)))))</f>
        <v>--</v>
      </c>
      <c r="L202" s="40"/>
      <c r="M202" s="41" t="s">
        <v>205</v>
      </c>
      <c r="N202" s="41"/>
      <c r="O202" s="265"/>
      <c r="P202" s="151"/>
      <c r="Q202" s="37"/>
      <c r="R202" s="218" t="str">
        <f>IF(ISNUMBER(K202*V202),K202*V202,"")</f>
        <v/>
      </c>
      <c r="S202" s="102" t="s">
        <v>172</v>
      </c>
      <c r="T202" s="218" t="str">
        <f>IF(ISNUMBER(C202),C202,"")</f>
        <v/>
      </c>
      <c r="U202" s="224" t="str">
        <f>IF(D205="h","",IF(ISNUMBER(C205),C205,""))</f>
        <v/>
      </c>
      <c r="V202" s="218" t="str">
        <f>IF(ISNUMBER(T202),IF(D205="h",C205,IF(ISNUMBER(T202*U202),IF(D205="m3/h",T202/U202,T202*U202),"")),"")</f>
        <v/>
      </c>
      <c r="W202" s="225"/>
      <c r="X202" s="221"/>
      <c r="Y202" s="44"/>
      <c r="Z202" s="44"/>
      <c r="AA202" s="226"/>
      <c r="AB202" s="44"/>
      <c r="AC202" s="44"/>
      <c r="AD202" s="44"/>
      <c r="AE202" s="36"/>
      <c r="AF202" s="36"/>
      <c r="AG202" s="36"/>
      <c r="AH202" s="36"/>
      <c r="AI202" s="36"/>
      <c r="AJ202" s="36"/>
      <c r="AK202" s="36"/>
      <c r="AL202" s="36"/>
      <c r="AM202" s="36"/>
      <c r="AN202" s="37"/>
      <c r="AO202" s="37"/>
      <c r="AP202" s="37"/>
      <c r="AQ202" s="37"/>
      <c r="AR202" s="37"/>
      <c r="AS202" s="37"/>
      <c r="AT202" s="37"/>
      <c r="AU202" s="37"/>
      <c r="AV202" s="37"/>
      <c r="AW202" s="37"/>
      <c r="AX202" s="37"/>
      <c r="AY202" s="37"/>
      <c r="AZ202" s="37"/>
      <c r="BA202" s="37"/>
      <c r="BB202" s="37"/>
      <c r="BC202" s="37"/>
      <c r="BD202" s="37"/>
      <c r="BE202" s="37"/>
    </row>
    <row r="203" spans="2:59" s="31" customFormat="1" ht="15.5" x14ac:dyDescent="0.3">
      <c r="B203" s="54" t="s">
        <v>510</v>
      </c>
      <c r="C203" s="392" t="s">
        <v>332</v>
      </c>
      <c r="D203" s="393"/>
      <c r="E203" s="393"/>
      <c r="F203" s="393"/>
      <c r="G203" s="394"/>
      <c r="H203" s="84"/>
      <c r="J203" s="33"/>
      <c r="M203" s="84"/>
      <c r="N203" s="84"/>
      <c r="O203" s="100"/>
      <c r="P203" s="69"/>
      <c r="Q203" s="37"/>
      <c r="R203" s="44"/>
      <c r="S203" s="36"/>
      <c r="T203" s="44"/>
      <c r="U203" s="44"/>
      <c r="V203" s="44"/>
      <c r="W203" s="225"/>
      <c r="X203" s="44"/>
      <c r="Y203" s="44"/>
      <c r="Z203" s="44"/>
      <c r="AA203" s="44"/>
      <c r="AB203" s="44"/>
      <c r="AC203" s="44"/>
      <c r="AD203" s="44"/>
      <c r="AE203" s="36"/>
      <c r="AF203" s="36"/>
      <c r="AG203" s="36"/>
      <c r="AH203" s="36"/>
      <c r="AI203" s="36"/>
      <c r="AJ203" s="36"/>
      <c r="AK203" s="36"/>
      <c r="AL203" s="36"/>
      <c r="AM203" s="36"/>
      <c r="AN203" s="37"/>
      <c r="AO203" s="37"/>
      <c r="AP203" s="37"/>
      <c r="AQ203" s="37"/>
      <c r="AR203" s="37"/>
      <c r="AS203" s="37"/>
      <c r="AT203" s="37"/>
      <c r="AU203" s="37"/>
      <c r="AV203" s="37"/>
      <c r="AW203" s="37"/>
      <c r="AX203" s="37"/>
      <c r="AY203" s="37"/>
      <c r="AZ203" s="37"/>
      <c r="BA203" s="37"/>
      <c r="BB203" s="37"/>
      <c r="BC203" s="37"/>
      <c r="BD203" s="37"/>
      <c r="BE203" s="37"/>
    </row>
    <row r="204" spans="2:59" s="31" customFormat="1" ht="15.5" x14ac:dyDescent="0.3">
      <c r="B204" s="170" t="s">
        <v>509</v>
      </c>
      <c r="C204" s="160" t="s">
        <v>242</v>
      </c>
      <c r="D204" s="34"/>
      <c r="E204" s="34"/>
      <c r="F204" s="34"/>
      <c r="G204" s="34"/>
      <c r="H204" s="59"/>
      <c r="J204" s="173"/>
      <c r="K204" s="173"/>
      <c r="L204" s="173"/>
      <c r="M204" s="41"/>
      <c r="N204" s="41"/>
      <c r="O204" s="265"/>
      <c r="Q204" s="47"/>
      <c r="R204" s="221"/>
      <c r="S204" s="102"/>
      <c r="T204" s="44"/>
      <c r="U204" s="44"/>
      <c r="V204" s="220"/>
      <c r="W204" s="220"/>
      <c r="X204" s="221"/>
      <c r="Y204" s="44"/>
      <c r="Z204" s="221"/>
      <c r="AA204" s="222"/>
      <c r="AB204" s="221"/>
      <c r="AC204" s="221"/>
      <c r="AD204" s="221"/>
      <c r="AE204" s="61"/>
      <c r="AF204" s="182"/>
      <c r="AG204" s="61"/>
      <c r="AH204" s="36"/>
      <c r="AI204" s="36"/>
      <c r="AJ204" s="36"/>
      <c r="AK204" s="108"/>
      <c r="AL204" s="36"/>
      <c r="AM204" s="36"/>
      <c r="AN204" s="37"/>
      <c r="AO204" s="37"/>
      <c r="AP204" s="37"/>
      <c r="AQ204" s="37"/>
      <c r="AR204" s="37"/>
      <c r="AS204" s="37"/>
      <c r="AT204" s="37"/>
      <c r="AU204" s="37"/>
      <c r="AV204" s="37"/>
      <c r="AW204" s="37"/>
      <c r="AX204" s="37"/>
      <c r="AY204" s="37"/>
      <c r="AZ204" s="37"/>
      <c r="BA204" s="37"/>
      <c r="BB204" s="37"/>
      <c r="BC204" s="37"/>
      <c r="BD204" s="37"/>
      <c r="BE204" s="37"/>
    </row>
    <row r="205" spans="2:59" s="31" customFormat="1" ht="31" x14ac:dyDescent="0.3">
      <c r="B205" s="78" t="s">
        <v>511</v>
      </c>
      <c r="C205" s="184"/>
      <c r="D205" s="89" t="s">
        <v>209</v>
      </c>
      <c r="H205" s="84"/>
      <c r="J205" s="33"/>
      <c r="M205" s="84"/>
      <c r="N205" s="84"/>
      <c r="O205" s="100"/>
      <c r="P205" s="149"/>
      <c r="Q205" s="105"/>
      <c r="R205" s="44"/>
      <c r="S205" s="36"/>
      <c r="T205" s="44"/>
      <c r="U205" s="44"/>
      <c r="V205" s="44"/>
      <c r="W205" s="225"/>
      <c r="X205" s="44"/>
      <c r="Y205" s="44"/>
      <c r="Z205" s="44"/>
      <c r="AA205" s="44"/>
      <c r="AB205" s="44"/>
      <c r="AC205" s="44"/>
      <c r="AD205" s="44"/>
      <c r="AE205" s="36"/>
      <c r="AF205" s="36"/>
      <c r="AG205" s="36"/>
      <c r="AH205" s="36"/>
      <c r="AI205" s="36"/>
      <c r="AJ205" s="36"/>
      <c r="AK205" s="36"/>
      <c r="AL205" s="36"/>
      <c r="AM205" s="36"/>
      <c r="AN205" s="37"/>
      <c r="AO205" s="37"/>
      <c r="AP205" s="37"/>
      <c r="AQ205" s="37"/>
      <c r="AR205" s="37"/>
      <c r="AS205" s="37"/>
      <c r="AT205" s="37"/>
      <c r="AU205" s="37"/>
      <c r="AV205" s="37"/>
      <c r="AW205" s="37"/>
      <c r="AX205" s="37"/>
      <c r="AY205" s="37"/>
      <c r="AZ205" s="37"/>
      <c r="BA205" s="37"/>
      <c r="BB205" s="37"/>
      <c r="BC205" s="37"/>
      <c r="BD205" s="37"/>
      <c r="BE205" s="37"/>
    </row>
    <row r="206" spans="2:59" s="31" customFormat="1" ht="15.5" x14ac:dyDescent="0.3">
      <c r="D206" s="84"/>
      <c r="H206" s="84"/>
      <c r="J206" s="33"/>
      <c r="M206" s="84"/>
      <c r="N206" s="84"/>
      <c r="O206" s="100"/>
      <c r="Q206" s="35"/>
      <c r="R206" s="44"/>
      <c r="S206" s="36"/>
      <c r="T206" s="44"/>
      <c r="U206" s="44"/>
      <c r="V206" s="44"/>
      <c r="W206" s="225"/>
      <c r="X206" s="44"/>
      <c r="Y206" s="44"/>
      <c r="Z206" s="44"/>
      <c r="AA206" s="44"/>
      <c r="AB206" s="44"/>
      <c r="AC206" s="44"/>
      <c r="AD206" s="44"/>
      <c r="AE206" s="36"/>
      <c r="AF206" s="36"/>
      <c r="AG206" s="36"/>
      <c r="AH206" s="36"/>
      <c r="AI206" s="36"/>
      <c r="AJ206" s="36"/>
      <c r="AK206" s="36"/>
      <c r="AL206" s="36"/>
      <c r="AM206" s="36"/>
      <c r="AN206" s="37"/>
      <c r="AO206" s="37"/>
      <c r="AP206" s="37"/>
      <c r="AQ206" s="37"/>
      <c r="AR206" s="37"/>
      <c r="AS206" s="37"/>
      <c r="AT206" s="37"/>
      <c r="AU206" s="37"/>
      <c r="AV206" s="37"/>
      <c r="AW206" s="37"/>
      <c r="AX206" s="37"/>
      <c r="AY206" s="37"/>
      <c r="AZ206" s="37"/>
      <c r="BA206" s="37"/>
      <c r="BB206" s="37"/>
      <c r="BC206" s="37"/>
      <c r="BD206" s="37"/>
      <c r="BE206" s="37"/>
    </row>
    <row r="207" spans="2:59" s="31" customFormat="1" ht="15.5" x14ac:dyDescent="0.3">
      <c r="B207" s="164" t="s">
        <v>489</v>
      </c>
      <c r="D207" s="84"/>
      <c r="H207" s="84"/>
      <c r="J207" s="33"/>
      <c r="K207" s="38" t="s">
        <v>329</v>
      </c>
      <c r="L207" s="38" t="s">
        <v>201</v>
      </c>
      <c r="M207" s="84"/>
      <c r="N207" s="84"/>
      <c r="O207" s="100"/>
      <c r="P207" s="69"/>
      <c r="Q207" s="37"/>
      <c r="R207" s="44" t="s">
        <v>350</v>
      </c>
      <c r="S207" s="36"/>
      <c r="T207" s="44" t="s">
        <v>50</v>
      </c>
      <c r="U207" s="44" t="s">
        <v>351</v>
      </c>
      <c r="V207" s="44" t="s">
        <v>352</v>
      </c>
      <c r="W207" s="225"/>
      <c r="X207" s="44"/>
      <c r="Y207" s="44"/>
      <c r="Z207" s="44"/>
      <c r="AA207" s="44"/>
      <c r="AB207" s="44"/>
      <c r="AC207" s="44"/>
      <c r="AD207" s="44"/>
      <c r="AE207" s="36"/>
      <c r="AF207" s="36"/>
      <c r="AG207" s="36"/>
      <c r="AH207" s="36"/>
      <c r="AI207" s="36"/>
      <c r="AJ207" s="36"/>
      <c r="AK207" s="36"/>
      <c r="AL207" s="36"/>
      <c r="AM207" s="36"/>
      <c r="AN207" s="37"/>
      <c r="AO207" s="37"/>
      <c r="AP207" s="37"/>
      <c r="AQ207" s="37"/>
      <c r="AR207" s="37"/>
      <c r="AS207" s="37"/>
      <c r="AT207" s="37"/>
      <c r="AU207" s="37"/>
      <c r="AV207" s="37"/>
      <c r="AW207" s="37"/>
      <c r="AX207" s="37"/>
      <c r="AY207" s="37"/>
      <c r="AZ207" s="37"/>
      <c r="BA207" s="37"/>
      <c r="BB207" s="37"/>
      <c r="BC207" s="37"/>
      <c r="BD207" s="37"/>
      <c r="BE207" s="37"/>
    </row>
    <row r="208" spans="2:59" s="31" customFormat="1" ht="15.5" x14ac:dyDescent="0.3">
      <c r="B208" s="54" t="s">
        <v>472</v>
      </c>
      <c r="C208" s="183"/>
      <c r="D208" s="84" t="s">
        <v>210</v>
      </c>
      <c r="H208" s="84"/>
      <c r="J208" s="33" t="s">
        <v>470</v>
      </c>
      <c r="K208" s="96" t="str">
        <f>IF(ISNUMBER(L208),L208,IF(OR(C209=Pudotusvalikot!$D$67,C209=Pudotusvalikot!$D$68),"--",VLOOKUP(C209,Kalusto!$C$5:$E$42,3,FALSE)*IF(OR(C210=Pudotusvalikot!$V$3,C210=Pudotusvalikot!$V$4),Muut!$E$38,IF(C210=Pudotusvalikot!$V$5,Muut!$E$39,IF(C210=Pudotusvalikot!$V$6,Muut!$E$40,Muut!$E$41)))))</f>
        <v>--</v>
      </c>
      <c r="L208" s="40"/>
      <c r="M208" s="41" t="s">
        <v>205</v>
      </c>
      <c r="N208" s="41"/>
      <c r="O208" s="265"/>
      <c r="P208" s="151"/>
      <c r="Q208" s="37"/>
      <c r="R208" s="218" t="str">
        <f>IF(ISNUMBER(K208*V208),K208*V208,"")</f>
        <v/>
      </c>
      <c r="S208" s="102" t="s">
        <v>172</v>
      </c>
      <c r="T208" s="218" t="str">
        <f>IF(ISNUMBER(C208),C208,"")</f>
        <v/>
      </c>
      <c r="U208" s="224" t="str">
        <f>IF(D211="h","",IF(ISNUMBER(C211),C211,""))</f>
        <v/>
      </c>
      <c r="V208" s="218" t="str">
        <f>IF(ISNUMBER(T208),IF(D211="h",C211,IF(ISNUMBER(T208*U208),IF(D211="m3/h",T208/U208,T208*U208),"")),"")</f>
        <v/>
      </c>
      <c r="W208" s="225"/>
      <c r="X208" s="221"/>
      <c r="Y208" s="44"/>
      <c r="Z208" s="44"/>
      <c r="AA208" s="226"/>
      <c r="AB208" s="44"/>
      <c r="AC208" s="44"/>
      <c r="AD208" s="44"/>
      <c r="AE208" s="36"/>
      <c r="AF208" s="36"/>
      <c r="AG208" s="36"/>
      <c r="AH208" s="36"/>
      <c r="AI208" s="36"/>
      <c r="AJ208" s="36"/>
      <c r="AK208" s="36"/>
      <c r="AL208" s="36"/>
      <c r="AM208" s="36"/>
      <c r="AN208" s="37"/>
      <c r="AO208" s="37"/>
      <c r="AP208" s="37"/>
      <c r="AQ208" s="37"/>
      <c r="AR208" s="37"/>
      <c r="AS208" s="37"/>
      <c r="AT208" s="37"/>
      <c r="AU208" s="37"/>
      <c r="AV208" s="37"/>
      <c r="AW208" s="37"/>
      <c r="AX208" s="37"/>
      <c r="AY208" s="37"/>
      <c r="AZ208" s="37"/>
      <c r="BA208" s="37"/>
      <c r="BB208" s="37"/>
      <c r="BC208" s="37"/>
      <c r="BD208" s="37"/>
      <c r="BE208" s="37"/>
    </row>
    <row r="209" spans="2:57" s="31" customFormat="1" ht="15.5" x14ac:dyDescent="0.3">
      <c r="B209" s="54" t="s">
        <v>510</v>
      </c>
      <c r="C209" s="392" t="s">
        <v>332</v>
      </c>
      <c r="D209" s="393"/>
      <c r="E209" s="393"/>
      <c r="F209" s="393"/>
      <c r="G209" s="394"/>
      <c r="H209" s="84"/>
      <c r="J209" s="33"/>
      <c r="M209" s="84"/>
      <c r="N209" s="84"/>
      <c r="O209" s="100"/>
      <c r="P209" s="69"/>
      <c r="Q209" s="37"/>
      <c r="R209" s="44"/>
      <c r="S209" s="36"/>
      <c r="T209" s="44"/>
      <c r="U209" s="44"/>
      <c r="V209" s="44"/>
      <c r="W209" s="225"/>
      <c r="X209" s="44"/>
      <c r="Y209" s="44"/>
      <c r="Z209" s="44"/>
      <c r="AA209" s="44"/>
      <c r="AB209" s="44"/>
      <c r="AC209" s="44"/>
      <c r="AD209" s="44"/>
      <c r="AE209" s="36"/>
      <c r="AF209" s="36"/>
      <c r="AG209" s="36"/>
      <c r="AH209" s="36"/>
      <c r="AI209" s="36"/>
      <c r="AJ209" s="36"/>
      <c r="AK209" s="36"/>
      <c r="AL209" s="36"/>
      <c r="AM209" s="36"/>
      <c r="AN209" s="37"/>
      <c r="AO209" s="37"/>
      <c r="AP209" s="37"/>
      <c r="AQ209" s="37"/>
      <c r="AR209" s="37"/>
      <c r="AS209" s="37"/>
      <c r="AT209" s="37"/>
      <c r="AU209" s="37"/>
      <c r="AV209" s="37"/>
      <c r="AW209" s="37"/>
      <c r="AX209" s="37"/>
      <c r="AY209" s="37"/>
      <c r="AZ209" s="37"/>
      <c r="BA209" s="37"/>
      <c r="BB209" s="37"/>
      <c r="BC209" s="37"/>
      <c r="BD209" s="37"/>
      <c r="BE209" s="37"/>
    </row>
    <row r="210" spans="2:57" s="31" customFormat="1" ht="15.5" x14ac:dyDescent="0.3">
      <c r="B210" s="170" t="s">
        <v>509</v>
      </c>
      <c r="C210" s="160" t="s">
        <v>242</v>
      </c>
      <c r="D210" s="34"/>
      <c r="E210" s="34"/>
      <c r="F210" s="34"/>
      <c r="G210" s="34"/>
      <c r="H210" s="59"/>
      <c r="J210" s="173"/>
      <c r="K210" s="173"/>
      <c r="L210" s="173"/>
      <c r="M210" s="41"/>
      <c r="N210" s="41"/>
      <c r="O210" s="265"/>
      <c r="Q210" s="47"/>
      <c r="R210" s="221"/>
      <c r="S210" s="102"/>
      <c r="T210" s="44"/>
      <c r="U210" s="44"/>
      <c r="V210" s="220"/>
      <c r="W210" s="220"/>
      <c r="X210" s="221"/>
      <c r="Y210" s="44"/>
      <c r="Z210" s="221"/>
      <c r="AA210" s="222"/>
      <c r="AB210" s="221"/>
      <c r="AC210" s="221"/>
      <c r="AD210" s="221"/>
      <c r="AE210" s="61"/>
      <c r="AF210" s="182"/>
      <c r="AG210" s="61"/>
      <c r="AH210" s="36"/>
      <c r="AI210" s="36"/>
      <c r="AJ210" s="36"/>
      <c r="AK210" s="108"/>
      <c r="AL210" s="36"/>
      <c r="AM210" s="36"/>
      <c r="AN210" s="37"/>
      <c r="AO210" s="37"/>
      <c r="AP210" s="37"/>
      <c r="AQ210" s="37"/>
      <c r="AR210" s="37"/>
      <c r="AS210" s="37"/>
      <c r="AT210" s="37"/>
      <c r="AU210" s="37"/>
      <c r="AV210" s="37"/>
      <c r="AW210" s="37"/>
      <c r="AX210" s="37"/>
      <c r="AY210" s="37"/>
      <c r="AZ210" s="37"/>
      <c r="BA210" s="37"/>
      <c r="BB210" s="37"/>
      <c r="BC210" s="37"/>
      <c r="BD210" s="37"/>
      <c r="BE210" s="37"/>
    </row>
    <row r="211" spans="2:57" s="31" customFormat="1" ht="31" x14ac:dyDescent="0.3">
      <c r="B211" s="78" t="s">
        <v>511</v>
      </c>
      <c r="C211" s="184"/>
      <c r="D211" s="89" t="s">
        <v>209</v>
      </c>
      <c r="H211" s="84"/>
      <c r="J211" s="33"/>
      <c r="M211" s="84"/>
      <c r="N211" s="84"/>
      <c r="O211" s="100"/>
      <c r="P211" s="149"/>
      <c r="Q211" s="105"/>
      <c r="R211" s="44"/>
      <c r="S211" s="36"/>
      <c r="T211" s="44"/>
      <c r="U211" s="44"/>
      <c r="V211" s="44"/>
      <c r="W211" s="225"/>
      <c r="X211" s="44"/>
      <c r="Y211" s="44"/>
      <c r="Z211" s="44"/>
      <c r="AA211" s="44"/>
      <c r="AB211" s="44"/>
      <c r="AC211" s="44"/>
      <c r="AD211" s="44"/>
      <c r="AE211" s="36"/>
      <c r="AF211" s="36"/>
      <c r="AG211" s="36"/>
      <c r="AH211" s="36"/>
      <c r="AI211" s="36"/>
      <c r="AJ211" s="36"/>
      <c r="AK211" s="36"/>
      <c r="AL211" s="36"/>
      <c r="AM211" s="36"/>
      <c r="AN211" s="37"/>
      <c r="AO211" s="37"/>
      <c r="AP211" s="37"/>
      <c r="AQ211" s="37"/>
      <c r="AR211" s="37"/>
      <c r="AS211" s="37"/>
      <c r="AT211" s="37"/>
      <c r="AU211" s="37"/>
      <c r="AV211" s="37"/>
      <c r="AW211" s="37"/>
      <c r="AX211" s="37"/>
      <c r="AY211" s="37"/>
      <c r="AZ211" s="37"/>
      <c r="BA211" s="37"/>
      <c r="BB211" s="37"/>
      <c r="BC211" s="37"/>
      <c r="BD211" s="37"/>
      <c r="BE211" s="37"/>
    </row>
    <row r="212" spans="2:57" s="31" customFormat="1" ht="15.5" x14ac:dyDescent="0.3">
      <c r="D212" s="84"/>
      <c r="H212" s="84"/>
      <c r="J212" s="33"/>
      <c r="M212" s="84"/>
      <c r="N212" s="84"/>
      <c r="O212" s="100"/>
      <c r="P212" s="69"/>
      <c r="Q212" s="37"/>
      <c r="R212" s="44"/>
      <c r="S212" s="36"/>
      <c r="T212" s="44"/>
      <c r="U212" s="44"/>
      <c r="V212" s="44"/>
      <c r="W212" s="225"/>
      <c r="X212" s="44"/>
      <c r="Y212" s="44"/>
      <c r="Z212" s="44"/>
      <c r="AA212" s="44"/>
      <c r="AB212" s="44"/>
      <c r="AC212" s="44"/>
      <c r="AD212" s="44"/>
      <c r="AE212" s="36"/>
      <c r="AF212" s="36"/>
      <c r="AG212" s="36"/>
      <c r="AH212" s="36"/>
      <c r="AI212" s="36"/>
      <c r="AJ212" s="36"/>
      <c r="AK212" s="36"/>
      <c r="AL212" s="36"/>
      <c r="AM212" s="36"/>
      <c r="AN212" s="37"/>
      <c r="AO212" s="37"/>
      <c r="AP212" s="37"/>
      <c r="AQ212" s="37"/>
      <c r="AR212" s="37"/>
      <c r="AS212" s="37"/>
      <c r="AT212" s="37"/>
      <c r="AU212" s="37"/>
      <c r="AV212" s="37"/>
      <c r="AW212" s="37"/>
      <c r="AX212" s="37"/>
      <c r="AY212" s="37"/>
      <c r="AZ212" s="37"/>
      <c r="BA212" s="37"/>
      <c r="BB212" s="37"/>
      <c r="BC212" s="37"/>
      <c r="BD212" s="37"/>
      <c r="BE212" s="37"/>
    </row>
    <row r="213" spans="2:57" s="31" customFormat="1" ht="15.5" x14ac:dyDescent="0.3">
      <c r="B213" s="164" t="s">
        <v>594</v>
      </c>
      <c r="D213" s="84"/>
      <c r="H213" s="84"/>
      <c r="J213" s="33"/>
      <c r="K213" s="38" t="s">
        <v>329</v>
      </c>
      <c r="L213" s="38" t="s">
        <v>201</v>
      </c>
      <c r="M213" s="84"/>
      <c r="N213" s="84"/>
      <c r="O213" s="100"/>
      <c r="P213" s="69"/>
      <c r="Q213" s="37"/>
      <c r="R213" s="44" t="s">
        <v>350</v>
      </c>
      <c r="S213" s="36"/>
      <c r="T213" s="44" t="s">
        <v>50</v>
      </c>
      <c r="U213" s="44" t="s">
        <v>351</v>
      </c>
      <c r="V213" s="44" t="s">
        <v>352</v>
      </c>
      <c r="W213" s="225"/>
      <c r="X213" s="44"/>
      <c r="Y213" s="44"/>
      <c r="Z213" s="44"/>
      <c r="AA213" s="44"/>
      <c r="AB213" s="44"/>
      <c r="AC213" s="44"/>
      <c r="AD213" s="44"/>
      <c r="AE213" s="36"/>
      <c r="AF213" s="36"/>
      <c r="AG213" s="36"/>
      <c r="AH213" s="36"/>
      <c r="AI213" s="36"/>
      <c r="AJ213" s="36"/>
      <c r="AK213" s="36"/>
      <c r="AL213" s="36"/>
      <c r="AM213" s="36"/>
      <c r="AN213" s="37"/>
      <c r="AO213" s="37"/>
      <c r="AP213" s="37"/>
      <c r="AQ213" s="37"/>
      <c r="AR213" s="37"/>
      <c r="AS213" s="37"/>
      <c r="AT213" s="37"/>
      <c r="AU213" s="37"/>
      <c r="AV213" s="37"/>
      <c r="AW213" s="37"/>
      <c r="AX213" s="37"/>
      <c r="AY213" s="37"/>
      <c r="AZ213" s="37"/>
      <c r="BA213" s="37"/>
      <c r="BB213" s="37"/>
      <c r="BC213" s="37"/>
      <c r="BD213" s="37"/>
      <c r="BE213" s="37"/>
    </row>
    <row r="214" spans="2:57" s="31" customFormat="1" ht="15.5" x14ac:dyDescent="0.3">
      <c r="B214" s="54" t="s">
        <v>472</v>
      </c>
      <c r="C214" s="183"/>
      <c r="D214" s="84" t="s">
        <v>210</v>
      </c>
      <c r="H214" s="84"/>
      <c r="J214" s="33" t="s">
        <v>470</v>
      </c>
      <c r="K214" s="96" t="str">
        <f>IF(ISNUMBER(L214),L214,IF(OR(C215=Pudotusvalikot!$D$67,C215=Pudotusvalikot!$D$68),"--",VLOOKUP(C215,Kalusto!$C$5:$E$42,3,FALSE)*IF(OR(C216=Pudotusvalikot!$V$3,C216=Pudotusvalikot!$V$4),Muut!$E$38,IF(C216=Pudotusvalikot!$V$5,Muut!$E$39,IF(C216=Pudotusvalikot!$V$6,Muut!$E$40,Muut!$E$41)))))</f>
        <v>--</v>
      </c>
      <c r="L214" s="40"/>
      <c r="M214" s="41" t="s">
        <v>205</v>
      </c>
      <c r="N214" s="41"/>
      <c r="O214" s="265"/>
      <c r="P214" s="151"/>
      <c r="Q214" s="37"/>
      <c r="R214" s="218" t="str">
        <f>IF(ISNUMBER(K214*V214),K214*V214,"")</f>
        <v/>
      </c>
      <c r="S214" s="102" t="s">
        <v>172</v>
      </c>
      <c r="T214" s="218" t="str">
        <f>IF(ISNUMBER(C214),C214,"")</f>
        <v/>
      </c>
      <c r="U214" s="224" t="str">
        <f>IF(D217="h","",IF(ISNUMBER(C217),C217,""))</f>
        <v/>
      </c>
      <c r="V214" s="218" t="str">
        <f>IF(ISNUMBER(T214),IF(D217="h",C217,IF(ISNUMBER(T214*U214),IF(D217="m3/h",T214/U214,T214*U214),"")),"")</f>
        <v/>
      </c>
      <c r="W214" s="225"/>
      <c r="X214" s="221"/>
      <c r="Y214" s="44"/>
      <c r="Z214" s="44"/>
      <c r="AA214" s="226"/>
      <c r="AB214" s="44"/>
      <c r="AC214" s="44"/>
      <c r="AD214" s="44"/>
      <c r="AE214" s="36"/>
      <c r="AF214" s="36"/>
      <c r="AG214" s="36"/>
      <c r="AH214" s="36"/>
      <c r="AI214" s="36"/>
      <c r="AJ214" s="36"/>
      <c r="AK214" s="36"/>
      <c r="AL214" s="36"/>
      <c r="AM214" s="36"/>
      <c r="AN214" s="37"/>
      <c r="AO214" s="37"/>
      <c r="AP214" s="37"/>
      <c r="AQ214" s="37"/>
      <c r="AR214" s="37"/>
      <c r="AS214" s="37"/>
      <c r="AT214" s="37"/>
      <c r="AU214" s="37"/>
      <c r="AV214" s="37"/>
      <c r="AW214" s="37"/>
      <c r="AX214" s="37"/>
      <c r="AY214" s="37"/>
      <c r="AZ214" s="37"/>
      <c r="BA214" s="37"/>
      <c r="BB214" s="37"/>
      <c r="BC214" s="37"/>
      <c r="BD214" s="37"/>
      <c r="BE214" s="37"/>
    </row>
    <row r="215" spans="2:57" s="31" customFormat="1" ht="15.5" x14ac:dyDescent="0.3">
      <c r="B215" s="54" t="s">
        <v>510</v>
      </c>
      <c r="C215" s="392" t="s">
        <v>332</v>
      </c>
      <c r="D215" s="393"/>
      <c r="E215" s="393"/>
      <c r="F215" s="393"/>
      <c r="G215" s="394"/>
      <c r="H215" s="84"/>
      <c r="J215" s="33"/>
      <c r="M215" s="84"/>
      <c r="N215" s="84"/>
      <c r="O215" s="100"/>
      <c r="P215" s="69"/>
      <c r="Q215" s="37"/>
      <c r="R215" s="44"/>
      <c r="S215" s="36"/>
      <c r="T215" s="44"/>
      <c r="U215" s="44"/>
      <c r="V215" s="44"/>
      <c r="W215" s="225"/>
      <c r="X215" s="44"/>
      <c r="Y215" s="44"/>
      <c r="Z215" s="44"/>
      <c r="AA215" s="44"/>
      <c r="AB215" s="44"/>
      <c r="AC215" s="44"/>
      <c r="AD215" s="44"/>
      <c r="AE215" s="36"/>
      <c r="AF215" s="36"/>
      <c r="AG215" s="36"/>
      <c r="AH215" s="36"/>
      <c r="AI215" s="36"/>
      <c r="AJ215" s="36"/>
      <c r="AK215" s="36"/>
      <c r="AL215" s="36"/>
      <c r="AM215" s="36"/>
      <c r="AN215" s="37"/>
      <c r="AO215" s="37"/>
      <c r="AP215" s="37"/>
      <c r="AQ215" s="37"/>
      <c r="AR215" s="37"/>
      <c r="AS215" s="37"/>
      <c r="AT215" s="37"/>
      <c r="AU215" s="37"/>
      <c r="AV215" s="37"/>
      <c r="AW215" s="37"/>
      <c r="AX215" s="37"/>
      <c r="AY215" s="37"/>
      <c r="AZ215" s="37"/>
      <c r="BA215" s="37"/>
      <c r="BB215" s="37"/>
      <c r="BC215" s="37"/>
      <c r="BD215" s="37"/>
      <c r="BE215" s="37"/>
    </row>
    <row r="216" spans="2:57" s="31" customFormat="1" ht="15.5" x14ac:dyDescent="0.3">
      <c r="B216" s="170" t="s">
        <v>509</v>
      </c>
      <c r="C216" s="160" t="s">
        <v>242</v>
      </c>
      <c r="D216" s="34"/>
      <c r="E216" s="34"/>
      <c r="F216" s="34"/>
      <c r="G216" s="34"/>
      <c r="H216" s="59"/>
      <c r="J216" s="173"/>
      <c r="K216" s="173"/>
      <c r="L216" s="173"/>
      <c r="M216" s="41"/>
      <c r="N216" s="41"/>
      <c r="O216" s="265"/>
      <c r="Q216" s="47"/>
      <c r="R216" s="221"/>
      <c r="S216" s="102"/>
      <c r="T216" s="44"/>
      <c r="U216" s="44"/>
      <c r="V216" s="220"/>
      <c r="W216" s="220"/>
      <c r="X216" s="221"/>
      <c r="Y216" s="44"/>
      <c r="Z216" s="221"/>
      <c r="AA216" s="222"/>
      <c r="AB216" s="221"/>
      <c r="AC216" s="221"/>
      <c r="AD216" s="221"/>
      <c r="AE216" s="61"/>
      <c r="AF216" s="182"/>
      <c r="AG216" s="61"/>
      <c r="AH216" s="36"/>
      <c r="AI216" s="36"/>
      <c r="AJ216" s="36"/>
      <c r="AK216" s="108"/>
      <c r="AL216" s="36"/>
      <c r="AM216" s="36"/>
      <c r="AN216" s="37"/>
      <c r="AO216" s="37"/>
      <c r="AP216" s="37"/>
      <c r="AQ216" s="37"/>
      <c r="AR216" s="37"/>
      <c r="AS216" s="37"/>
      <c r="AT216" s="37"/>
      <c r="AU216" s="37"/>
      <c r="AV216" s="37"/>
      <c r="AW216" s="37"/>
      <c r="AX216" s="37"/>
      <c r="AY216" s="37"/>
      <c r="AZ216" s="37"/>
      <c r="BA216" s="37"/>
      <c r="BB216" s="37"/>
      <c r="BC216" s="37"/>
      <c r="BD216" s="37"/>
      <c r="BE216" s="37"/>
    </row>
    <row r="217" spans="2:57" s="31" customFormat="1" ht="31" x14ac:dyDescent="0.3">
      <c r="B217" s="78" t="s">
        <v>511</v>
      </c>
      <c r="C217" s="184"/>
      <c r="D217" s="89" t="s">
        <v>209</v>
      </c>
      <c r="H217" s="84"/>
      <c r="J217" s="33"/>
      <c r="M217" s="84"/>
      <c r="N217" s="84"/>
      <c r="O217" s="100"/>
      <c r="P217" s="149"/>
      <c r="Q217" s="105"/>
      <c r="R217" s="44"/>
      <c r="S217" s="36"/>
      <c r="T217" s="44"/>
      <c r="U217" s="44"/>
      <c r="V217" s="44"/>
      <c r="W217" s="225"/>
      <c r="X217" s="44"/>
      <c r="Y217" s="44"/>
      <c r="Z217" s="44"/>
      <c r="AA217" s="44"/>
      <c r="AB217" s="44"/>
      <c r="AC217" s="44"/>
      <c r="AD217" s="44"/>
      <c r="AE217" s="36"/>
      <c r="AF217" s="36"/>
      <c r="AG217" s="36"/>
      <c r="AH217" s="36"/>
      <c r="AI217" s="36"/>
      <c r="AJ217" s="36"/>
      <c r="AK217" s="36"/>
      <c r="AL217" s="36"/>
      <c r="AM217" s="36"/>
      <c r="AN217" s="37"/>
      <c r="AO217" s="37"/>
      <c r="AP217" s="37"/>
      <c r="AQ217" s="37"/>
      <c r="AR217" s="37"/>
      <c r="AS217" s="37"/>
      <c r="AT217" s="37"/>
      <c r="AU217" s="37"/>
      <c r="AV217" s="37"/>
      <c r="AW217" s="37"/>
      <c r="AX217" s="37"/>
      <c r="AY217" s="37"/>
      <c r="AZ217" s="37"/>
      <c r="BA217" s="37"/>
      <c r="BB217" s="37"/>
      <c r="BC217" s="37"/>
      <c r="BD217" s="37"/>
      <c r="BE217" s="37"/>
    </row>
    <row r="218" spans="2:57" s="31" customFormat="1" ht="15.5" x14ac:dyDescent="0.3">
      <c r="D218" s="84"/>
      <c r="H218" s="84"/>
      <c r="J218" s="33"/>
      <c r="M218" s="84"/>
      <c r="N218" s="84"/>
      <c r="O218" s="84"/>
      <c r="Q218" s="35"/>
      <c r="R218" s="106"/>
      <c r="S218" s="36"/>
      <c r="T218" s="44"/>
      <c r="U218" s="44"/>
      <c r="V218" s="44"/>
      <c r="W218" s="44"/>
      <c r="X218" s="44"/>
      <c r="Y218" s="44"/>
      <c r="Z218" s="44"/>
      <c r="AA218" s="44"/>
      <c r="AB218" s="44"/>
      <c r="AC218" s="44"/>
      <c r="AD218" s="44"/>
      <c r="AE218" s="36"/>
      <c r="AF218" s="36"/>
      <c r="AG218" s="36"/>
      <c r="AH218" s="36"/>
      <c r="AI218" s="36"/>
      <c r="AJ218" s="36"/>
      <c r="AK218" s="36"/>
      <c r="AL218" s="36"/>
      <c r="AM218" s="36"/>
      <c r="AN218" s="37"/>
      <c r="AO218" s="37"/>
      <c r="AP218" s="37"/>
      <c r="AQ218" s="37"/>
      <c r="AR218" s="37"/>
      <c r="AS218" s="37"/>
      <c r="AT218" s="37"/>
      <c r="AU218" s="37"/>
      <c r="AV218" s="37"/>
      <c r="AW218" s="37"/>
      <c r="AX218" s="37"/>
      <c r="AY218" s="37"/>
      <c r="AZ218" s="37"/>
      <c r="BA218" s="37"/>
      <c r="BB218" s="37"/>
      <c r="BC218" s="37"/>
      <c r="BD218" s="37"/>
      <c r="BE218" s="37"/>
    </row>
    <row r="219" spans="2:57" s="298" customFormat="1" ht="18" x14ac:dyDescent="0.3">
      <c r="B219" s="295" t="s">
        <v>533</v>
      </c>
      <c r="C219" s="296"/>
      <c r="D219" s="297"/>
      <c r="G219" s="296"/>
      <c r="H219" s="297"/>
      <c r="K219" s="296"/>
      <c r="L219" s="296"/>
      <c r="M219" s="297"/>
      <c r="N219" s="297"/>
      <c r="O219" s="300"/>
      <c r="P219" s="320"/>
      <c r="Q219" s="304"/>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AN219" s="304"/>
      <c r="AO219" s="304"/>
      <c r="AP219" s="304"/>
      <c r="AQ219" s="304"/>
      <c r="AR219" s="304"/>
      <c r="AS219" s="304"/>
      <c r="AT219" s="304"/>
      <c r="AU219" s="304"/>
      <c r="AV219" s="304"/>
      <c r="AW219" s="304"/>
      <c r="AX219" s="304"/>
      <c r="AY219" s="304"/>
      <c r="AZ219" s="304"/>
      <c r="BA219" s="304"/>
      <c r="BB219" s="304"/>
      <c r="BC219" s="304"/>
      <c r="BD219" s="304"/>
      <c r="BE219" s="304"/>
    </row>
    <row r="220" spans="2:57" s="31" customFormat="1" ht="15.5" x14ac:dyDescent="0.3">
      <c r="B220" s="9"/>
      <c r="C220" s="34"/>
      <c r="D220" s="84"/>
      <c r="G220" s="34"/>
      <c r="H220" s="84"/>
      <c r="J220" s="33"/>
      <c r="K220" s="38" t="s">
        <v>329</v>
      </c>
      <c r="L220" s="38" t="s">
        <v>201</v>
      </c>
      <c r="M220" s="84"/>
      <c r="N220" s="84"/>
      <c r="O220" s="255" t="s">
        <v>644</v>
      </c>
      <c r="Q220" s="35"/>
      <c r="R220" s="44" t="s">
        <v>350</v>
      </c>
      <c r="S220" s="36"/>
      <c r="T220" s="44"/>
      <c r="U220" s="44"/>
      <c r="V220" s="44"/>
      <c r="W220" s="44"/>
      <c r="X220" s="44"/>
      <c r="Y220" s="44"/>
      <c r="Z220" s="44"/>
      <c r="AA220" s="44"/>
      <c r="AB220" s="44"/>
      <c r="AC220" s="44"/>
      <c r="AD220" s="44"/>
      <c r="AE220" s="36"/>
      <c r="AF220" s="36"/>
      <c r="AG220" s="36"/>
      <c r="AH220" s="36"/>
      <c r="AI220" s="36"/>
      <c r="AJ220" s="36"/>
      <c r="AK220" s="36"/>
      <c r="AL220" s="36"/>
      <c r="AM220" s="36"/>
      <c r="AN220" s="37"/>
      <c r="AO220" s="37"/>
      <c r="AP220" s="37"/>
      <c r="AQ220" s="37"/>
      <c r="AR220" s="37"/>
      <c r="AS220" s="37"/>
      <c r="AT220" s="37"/>
      <c r="AU220" s="37"/>
      <c r="AV220" s="37"/>
      <c r="AW220" s="37"/>
      <c r="AX220" s="37"/>
      <c r="AY220" s="37"/>
      <c r="AZ220" s="37"/>
      <c r="BA220" s="37"/>
      <c r="BB220" s="37"/>
      <c r="BC220" s="37"/>
      <c r="BD220" s="37"/>
      <c r="BE220" s="37"/>
    </row>
    <row r="221" spans="2:57" s="31" customFormat="1" ht="31" x14ac:dyDescent="0.3">
      <c r="B221" s="78" t="s">
        <v>602</v>
      </c>
      <c r="C221" s="392" t="s">
        <v>314</v>
      </c>
      <c r="D221" s="394"/>
      <c r="G221" s="34"/>
      <c r="H221" s="84"/>
      <c r="J221" s="33" t="s">
        <v>534</v>
      </c>
      <c r="K221" s="138">
        <f>IF(ISNUMBER(L221),L221,Muut!$H$10)</f>
        <v>60</v>
      </c>
      <c r="L221" s="73"/>
      <c r="M221" s="86" t="s">
        <v>535</v>
      </c>
      <c r="N221" s="86"/>
      <c r="O221" s="256"/>
      <c r="Q221" s="35"/>
      <c r="R221" s="242" t="str">
        <f>IF(ISNUMBER(R225),R225,IF(ISNUMBER(R227),R227,""))</f>
        <v/>
      </c>
      <c r="S221" s="102" t="s">
        <v>172</v>
      </c>
      <c r="T221" s="44"/>
      <c r="U221" s="44"/>
      <c r="V221" s="44"/>
      <c r="W221" s="44"/>
      <c r="X221" s="44"/>
      <c r="Y221" s="44"/>
      <c r="Z221" s="44"/>
      <c r="AA221" s="44"/>
      <c r="AB221" s="44"/>
      <c r="AC221" s="44"/>
      <c r="AD221" s="44"/>
      <c r="AE221" s="36"/>
      <c r="AF221" s="36"/>
      <c r="AG221" s="36"/>
      <c r="AH221" s="36"/>
      <c r="AI221" s="36"/>
      <c r="AJ221" s="36"/>
      <c r="AK221" s="36"/>
      <c r="AL221" s="36"/>
      <c r="AM221" s="36"/>
      <c r="AN221" s="37"/>
      <c r="AO221" s="37"/>
      <c r="AP221" s="37"/>
      <c r="AQ221" s="37"/>
      <c r="AR221" s="37"/>
      <c r="AS221" s="37"/>
      <c r="AT221" s="37"/>
      <c r="AU221" s="37"/>
      <c r="AV221" s="37"/>
      <c r="AW221" s="37"/>
      <c r="AX221" s="37"/>
      <c r="AY221" s="37"/>
      <c r="AZ221" s="37"/>
      <c r="BA221" s="37"/>
      <c r="BB221" s="37"/>
      <c r="BC221" s="37"/>
      <c r="BD221" s="37"/>
      <c r="BE221" s="37"/>
    </row>
    <row r="222" spans="2:57" s="31" customFormat="1" ht="15.5" x14ac:dyDescent="0.3">
      <c r="B222" s="170" t="s">
        <v>536</v>
      </c>
      <c r="C222" s="160"/>
      <c r="D222" s="84" t="s">
        <v>8</v>
      </c>
      <c r="G222" s="34"/>
      <c r="H222" s="84"/>
      <c r="J222" s="33" t="s">
        <v>537</v>
      </c>
      <c r="K222" s="96">
        <f>IF(ISNUMBER(L222),L222,IF(OR(C221="Bensiini",C221="Diesel"),Muut!$H$34,Muut!$H$35))</f>
        <v>0.95</v>
      </c>
      <c r="L222" s="175" t="str">
        <f>IF(ISNUMBER(C222),C222,"--")</f>
        <v>--</v>
      </c>
      <c r="M222" s="86"/>
      <c r="N222" s="86"/>
      <c r="O222" s="266"/>
      <c r="Q222" s="35"/>
      <c r="R222" s="221"/>
      <c r="S222" s="102"/>
      <c r="T222" s="44"/>
      <c r="U222" s="44"/>
      <c r="V222" s="44"/>
      <c r="W222" s="44"/>
      <c r="X222" s="44"/>
      <c r="Y222" s="44"/>
      <c r="Z222" s="44"/>
      <c r="AA222" s="44"/>
      <c r="AB222" s="44"/>
      <c r="AC222" s="44"/>
      <c r="AD222" s="44"/>
      <c r="AE222" s="36"/>
      <c r="AF222" s="36"/>
      <c r="AG222" s="36"/>
      <c r="AH222" s="36"/>
      <c r="AI222" s="36"/>
      <c r="AJ222" s="36"/>
      <c r="AK222" s="36"/>
      <c r="AL222" s="36"/>
      <c r="AM222" s="36"/>
      <c r="AN222" s="37"/>
      <c r="AO222" s="37"/>
      <c r="AP222" s="37"/>
      <c r="AQ222" s="37"/>
      <c r="AR222" s="37"/>
      <c r="AS222" s="37"/>
      <c r="AT222" s="37"/>
      <c r="AU222" s="37"/>
      <c r="AV222" s="37"/>
      <c r="AW222" s="37"/>
      <c r="AX222" s="37"/>
      <c r="AY222" s="37"/>
      <c r="AZ222" s="37"/>
      <c r="BA222" s="37"/>
      <c r="BB222" s="37"/>
      <c r="BC222" s="37"/>
      <c r="BD222" s="37"/>
      <c r="BE222" s="37"/>
    </row>
    <row r="223" spans="2:57" s="31" customFormat="1" ht="15.5" x14ac:dyDescent="0.3">
      <c r="B223" s="54" t="s">
        <v>478</v>
      </c>
      <c r="C223" s="160"/>
      <c r="D223" s="89" t="s">
        <v>301</v>
      </c>
      <c r="G223" s="79"/>
      <c r="H223" s="84"/>
      <c r="M223" s="84"/>
      <c r="N223" s="84"/>
      <c r="O223" s="100"/>
      <c r="Q223" s="35"/>
      <c r="R223" s="106"/>
      <c r="S223" s="36"/>
      <c r="T223" s="44"/>
      <c r="U223" s="44"/>
      <c r="V223" s="44"/>
      <c r="W223" s="44"/>
      <c r="X223" s="44"/>
      <c r="Y223" s="44"/>
      <c r="Z223" s="44"/>
      <c r="AA223" s="44"/>
      <c r="AB223" s="44"/>
      <c r="AC223" s="44"/>
      <c r="AD223" s="44"/>
      <c r="AE223" s="36"/>
      <c r="AF223" s="36"/>
      <c r="AG223" s="36"/>
      <c r="AH223" s="36"/>
      <c r="AI223" s="36"/>
      <c r="AJ223" s="36"/>
      <c r="AK223" s="36"/>
      <c r="AL223" s="36"/>
      <c r="AM223" s="36"/>
      <c r="AN223" s="37"/>
      <c r="AO223" s="37"/>
      <c r="AP223" s="37"/>
      <c r="AQ223" s="37"/>
      <c r="AR223" s="37"/>
      <c r="AS223" s="37"/>
      <c r="AT223" s="37"/>
      <c r="AU223" s="37"/>
      <c r="AV223" s="37"/>
      <c r="AW223" s="37"/>
      <c r="AX223" s="37"/>
      <c r="AY223" s="37"/>
      <c r="AZ223" s="37"/>
      <c r="BA223" s="37"/>
      <c r="BB223" s="37"/>
      <c r="BC223" s="37"/>
      <c r="BD223" s="37"/>
      <c r="BE223" s="37"/>
    </row>
    <row r="224" spans="2:57" s="31" customFormat="1" ht="15.5" x14ac:dyDescent="0.3">
      <c r="B224" s="78" t="s">
        <v>480</v>
      </c>
      <c r="C224" s="34"/>
      <c r="D224" s="84"/>
      <c r="G224" s="34"/>
      <c r="H224" s="84"/>
      <c r="J224" s="33"/>
      <c r="K224" s="38"/>
      <c r="L224" s="38"/>
      <c r="M224" s="84"/>
      <c r="N224" s="84"/>
      <c r="O224" s="100"/>
      <c r="Q224" s="35"/>
      <c r="R224" s="44" t="s">
        <v>350</v>
      </c>
      <c r="S224" s="36"/>
      <c r="T224" s="44" t="s">
        <v>184</v>
      </c>
      <c r="U224" s="225"/>
      <c r="V224" s="44"/>
      <c r="W224" s="44"/>
      <c r="X224" s="44"/>
      <c r="Y224" s="44"/>
      <c r="Z224" s="44"/>
      <c r="AA224" s="44"/>
      <c r="AB224" s="44"/>
      <c r="AC224" s="44"/>
      <c r="AD224" s="44"/>
      <c r="AE224" s="36"/>
      <c r="AF224" s="36"/>
      <c r="AG224" s="36"/>
      <c r="AH224" s="36"/>
      <c r="AI224" s="36"/>
      <c r="AJ224" s="36"/>
      <c r="AK224" s="36"/>
      <c r="AL224" s="36"/>
      <c r="AM224" s="36"/>
      <c r="AN224" s="37"/>
      <c r="AO224" s="37"/>
      <c r="AP224" s="37"/>
      <c r="AQ224" s="37"/>
      <c r="AR224" s="37"/>
      <c r="AS224" s="37"/>
      <c r="AT224" s="37"/>
      <c r="AU224" s="37"/>
      <c r="AV224" s="37"/>
      <c r="AW224" s="37"/>
      <c r="AX224" s="37"/>
      <c r="AY224" s="37"/>
      <c r="AZ224" s="37"/>
      <c r="BA224" s="37"/>
      <c r="BB224" s="37"/>
      <c r="BC224" s="37"/>
      <c r="BD224" s="37"/>
      <c r="BE224" s="37"/>
    </row>
    <row r="225" spans="2:59" s="31" customFormat="1" ht="31" x14ac:dyDescent="0.3">
      <c r="B225" s="170" t="s">
        <v>539</v>
      </c>
      <c r="C225" s="156"/>
      <c r="D225" s="84" t="s">
        <v>296</v>
      </c>
      <c r="E225" s="34"/>
      <c r="G225" s="34"/>
      <c r="H225" s="84"/>
      <c r="M225" s="84"/>
      <c r="N225" s="84"/>
      <c r="O225" s="100"/>
      <c r="Q225" s="35"/>
      <c r="R225" s="242" t="str">
        <f>IF(ISNUMBER(C225),IF(AND(ISNUMBER(C223),C221="Aggregaatti"),C223*IF(D223="vuosi",365*24,IF(D223="kuukausi",30*24,IF(D223="päivä",24,1)))*Kalusto!$E$23,C225*T225),"")</f>
        <v/>
      </c>
      <c r="S225" s="102" t="s">
        <v>172</v>
      </c>
      <c r="T225" s="229" t="str">
        <f>IF(ISNUMBER(C225),IF(C221="Ostosähkö", (K221+Muut!$H$12)/1000,IF(C221="Aurinkopaneelit",(Muut!$H$24+Muut!$H$25)/1000,IF(OR(C221="Bensiini",C221="Diesel"),(Muut!$H$15+Muut!$H$14+Muut!$H$17+Muut!$H$18)/2,"Aggregaatin kerroin"))),"")</f>
        <v/>
      </c>
      <c r="U225" s="225"/>
      <c r="V225" s="44"/>
      <c r="W225" s="44"/>
      <c r="X225" s="44"/>
      <c r="Y225" s="44"/>
      <c r="Z225" s="44"/>
      <c r="AA225" s="44"/>
      <c r="AB225" s="44"/>
      <c r="AC225" s="44"/>
      <c r="AD225" s="44"/>
      <c r="AE225" s="36"/>
      <c r="AF225" s="36"/>
      <c r="AG225" s="36"/>
      <c r="AH225" s="36"/>
      <c r="AI225" s="36"/>
      <c r="AJ225" s="36"/>
      <c r="AK225" s="36"/>
      <c r="AL225" s="36"/>
      <c r="AM225" s="36"/>
      <c r="AN225" s="37"/>
      <c r="AO225" s="37"/>
      <c r="AP225" s="37"/>
      <c r="AQ225" s="37"/>
      <c r="AR225" s="37"/>
      <c r="AS225" s="37"/>
      <c r="AT225" s="37"/>
      <c r="AU225" s="37"/>
      <c r="AV225" s="37"/>
      <c r="AW225" s="37"/>
      <c r="AX225" s="37"/>
      <c r="AY225" s="37"/>
      <c r="AZ225" s="37"/>
      <c r="BA225" s="37"/>
      <c r="BB225" s="37"/>
      <c r="BC225" s="37"/>
      <c r="BD225" s="37"/>
      <c r="BE225" s="37"/>
    </row>
    <row r="226" spans="2:59" s="31" customFormat="1" ht="15.5" x14ac:dyDescent="0.3">
      <c r="B226" s="54" t="s">
        <v>481</v>
      </c>
      <c r="C226" s="34"/>
      <c r="D226" s="84"/>
      <c r="G226" s="79"/>
      <c r="H226" s="84"/>
      <c r="M226" s="84"/>
      <c r="N226" s="84"/>
      <c r="O226" s="100"/>
      <c r="Q226" s="35"/>
      <c r="R226" s="44" t="s">
        <v>350</v>
      </c>
      <c r="S226" s="36"/>
      <c r="T226" s="44" t="s">
        <v>184</v>
      </c>
      <c r="U226" s="44"/>
      <c r="V226" s="44"/>
      <c r="W226" s="44"/>
      <c r="X226" s="44"/>
      <c r="Y226" s="44"/>
      <c r="Z226" s="44"/>
      <c r="AA226" s="44"/>
      <c r="AB226" s="44"/>
      <c r="AC226" s="44"/>
      <c r="AD226" s="44"/>
      <c r="AE226" s="36"/>
      <c r="AF226" s="36"/>
      <c r="AG226" s="36"/>
      <c r="AH226" s="36"/>
      <c r="AI226" s="36"/>
      <c r="AJ226" s="36"/>
      <c r="AK226" s="36"/>
      <c r="AL226" s="36"/>
      <c r="AM226" s="36"/>
      <c r="AN226" s="37"/>
      <c r="AO226" s="37"/>
      <c r="AP226" s="37"/>
      <c r="AQ226" s="37"/>
      <c r="AR226" s="37"/>
      <c r="AS226" s="37"/>
      <c r="AT226" s="37"/>
      <c r="AU226" s="37"/>
      <c r="AV226" s="37"/>
      <c r="AW226" s="37"/>
      <c r="AX226" s="37"/>
      <c r="AY226" s="37"/>
      <c r="AZ226" s="37"/>
      <c r="BA226" s="37"/>
      <c r="BB226" s="37"/>
      <c r="BC226" s="37"/>
      <c r="BD226" s="37"/>
      <c r="BE226" s="37"/>
    </row>
    <row r="227" spans="2:59" s="31" customFormat="1" ht="15.5" x14ac:dyDescent="0.3">
      <c r="B227" s="45" t="s">
        <v>479</v>
      </c>
      <c r="C227" s="160"/>
      <c r="D227" s="84" t="s">
        <v>211</v>
      </c>
      <c r="G227" s="79"/>
      <c r="H227" s="84"/>
      <c r="M227" s="84"/>
      <c r="N227" s="84"/>
      <c r="O227" s="100"/>
      <c r="Q227" s="35"/>
      <c r="R227" s="242" t="str">
        <f>IF(ISNUMBER(C227),IF(AND(ISNUMBER(C223),C221="Aggregaatti"),C225*IF(D223="vuosi",365*24,IF(D223="kuukausi",30*24,IF(D223="päivä",24,1)))*Kalusto!$E$23,IF(D223="vuosi",365*24,IF(D223="kuukausi",30*24,IF(D223="päivä",24,1)))*C227*T227/K222),"")</f>
        <v/>
      </c>
      <c r="S227" s="102" t="s">
        <v>172</v>
      </c>
      <c r="T227" s="229" t="str">
        <f>IF(ISNUMBER(C227),IF(C221="Ostosähkö", (K221+Muut!$H$12)/1000/K222,IF(C221="Aurinkopaneelit",(Muut!$H$24+Muut!$H$25)/1000,IF(OR(C221="Bensiini",C221="Diesel"),(Muut!$H$15+Muut!$H$14+Muut!$H$17+Muut!$H$18)/2/K222,"Aggregaatin kerroin"))),"")</f>
        <v/>
      </c>
      <c r="U227" s="225"/>
      <c r="V227" s="44"/>
      <c r="W227" s="44"/>
      <c r="X227" s="44"/>
      <c r="Y227" s="44"/>
      <c r="Z227" s="44"/>
      <c r="AA227" s="44"/>
      <c r="AB227" s="44"/>
      <c r="AC227" s="44"/>
      <c r="AD227" s="44"/>
      <c r="AE227" s="36"/>
      <c r="AF227" s="36"/>
      <c r="AG227" s="36"/>
      <c r="AH227" s="36"/>
      <c r="AI227" s="36"/>
      <c r="AJ227" s="36"/>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9" s="31" customFormat="1" ht="15.5" x14ac:dyDescent="0.3">
      <c r="D228" s="84"/>
      <c r="H228" s="84"/>
      <c r="J228" s="33"/>
      <c r="K228" s="38" t="s">
        <v>329</v>
      </c>
      <c r="L228" s="38" t="s">
        <v>201</v>
      </c>
      <c r="M228" s="84"/>
      <c r="N228" s="84"/>
      <c r="O228" s="100"/>
      <c r="Q228" s="35"/>
      <c r="R228" s="106"/>
      <c r="S228" s="36"/>
      <c r="T228" s="44"/>
      <c r="U228" s="44"/>
      <c r="V228" s="44"/>
      <c r="W228" s="44"/>
      <c r="X228" s="44"/>
      <c r="Y228" s="44"/>
      <c r="Z228" s="44"/>
      <c r="AA228" s="44"/>
      <c r="AB228" s="44"/>
      <c r="AC228" s="44"/>
      <c r="AD228" s="44"/>
      <c r="AE228" s="36"/>
      <c r="AF228" s="36"/>
      <c r="AG228" s="36"/>
      <c r="AH228" s="36"/>
      <c r="AI228" s="36"/>
      <c r="AJ228" s="36"/>
      <c r="AK228" s="36"/>
      <c r="AL228" s="36"/>
      <c r="AM228" s="36"/>
      <c r="AN228" s="37"/>
      <c r="AO228" s="37"/>
      <c r="AP228" s="37"/>
      <c r="AQ228" s="37"/>
      <c r="AR228" s="37"/>
      <c r="AS228" s="37"/>
      <c r="AT228" s="37"/>
      <c r="AU228" s="37"/>
      <c r="AV228" s="37"/>
      <c r="AW228" s="37"/>
      <c r="AX228" s="37"/>
      <c r="AY228" s="37"/>
      <c r="AZ228" s="37"/>
      <c r="BA228" s="37"/>
      <c r="BB228" s="37"/>
      <c r="BC228" s="37"/>
      <c r="BD228" s="37"/>
      <c r="BE228" s="37"/>
    </row>
    <row r="229" spans="2:59" s="31" customFormat="1" ht="15.5" x14ac:dyDescent="0.3">
      <c r="B229" s="54" t="s">
        <v>497</v>
      </c>
      <c r="C229" s="160"/>
      <c r="D229" s="84" t="s">
        <v>210</v>
      </c>
      <c r="G229" s="34"/>
      <c r="H229" s="84"/>
      <c r="J229" s="33" t="s">
        <v>492</v>
      </c>
      <c r="K229" s="96">
        <f>IF(ISNUMBER(L229),L229,Muut!$H$36)</f>
        <v>0.7</v>
      </c>
      <c r="L229" s="73"/>
      <c r="M229" s="84" t="s">
        <v>226</v>
      </c>
      <c r="N229" s="84"/>
      <c r="O229" s="100"/>
      <c r="Q229" s="35"/>
      <c r="R229" s="242">
        <f>IF(ISNUMBER(K229*C229),K229*C229,"")</f>
        <v>0</v>
      </c>
      <c r="S229" s="102" t="s">
        <v>172</v>
      </c>
      <c r="T229" s="44"/>
      <c r="U229" s="44"/>
      <c r="V229" s="44"/>
      <c r="W229" s="44"/>
      <c r="X229" s="44"/>
      <c r="Y229" s="44"/>
      <c r="Z229" s="44"/>
      <c r="AA229" s="44"/>
      <c r="AB229" s="44"/>
      <c r="AC229" s="44"/>
      <c r="AD229" s="44"/>
      <c r="AE229" s="36"/>
      <c r="AF229" s="36"/>
      <c r="AG229" s="36"/>
      <c r="AH229" s="36"/>
      <c r="AI229" s="36"/>
      <c r="AJ229" s="36"/>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9" s="31" customFormat="1" ht="15.5" x14ac:dyDescent="0.3">
      <c r="B230" s="70" t="s">
        <v>490</v>
      </c>
      <c r="C230" s="97"/>
      <c r="D230" s="76" t="s">
        <v>210</v>
      </c>
      <c r="G230" s="34"/>
      <c r="H230" s="84"/>
      <c r="J230" s="71" t="s">
        <v>491</v>
      </c>
      <c r="K230" s="34"/>
      <c r="L230" s="34"/>
      <c r="M230" s="84"/>
      <c r="N230" s="84"/>
      <c r="O230" s="100"/>
      <c r="Q230" s="35"/>
      <c r="R230" s="106"/>
      <c r="S230" s="36"/>
      <c r="T230" s="44"/>
      <c r="U230" s="44"/>
      <c r="V230" s="44"/>
      <c r="W230" s="44"/>
      <c r="X230" s="44"/>
      <c r="Y230" s="44"/>
      <c r="Z230" s="44"/>
      <c r="AA230" s="44"/>
      <c r="AB230" s="44"/>
      <c r="AC230" s="44"/>
      <c r="AD230" s="44"/>
      <c r="AE230" s="36"/>
      <c r="AF230" s="36"/>
      <c r="AG230" s="36"/>
      <c r="AH230" s="36"/>
      <c r="AI230" s="36"/>
      <c r="AJ230" s="36"/>
      <c r="AK230" s="36"/>
      <c r="AL230" s="36"/>
      <c r="AM230" s="36"/>
      <c r="AN230" s="37"/>
      <c r="AO230" s="37"/>
      <c r="AP230" s="37"/>
      <c r="AQ230" s="37"/>
      <c r="AR230" s="37"/>
      <c r="AS230" s="37"/>
      <c r="AT230" s="37"/>
      <c r="AU230" s="37"/>
      <c r="AV230" s="37"/>
      <c r="AW230" s="37"/>
      <c r="AX230" s="37"/>
      <c r="AY230" s="37"/>
      <c r="AZ230" s="37"/>
      <c r="BA230" s="37"/>
      <c r="BB230" s="37"/>
      <c r="BC230" s="37"/>
      <c r="BD230" s="37"/>
      <c r="BE230" s="37"/>
    </row>
    <row r="231" spans="2:59" s="31" customFormat="1" ht="15.5" x14ac:dyDescent="0.3">
      <c r="B231" s="70" t="s">
        <v>13</v>
      </c>
      <c r="C231" s="97"/>
      <c r="D231" s="76" t="s">
        <v>210</v>
      </c>
      <c r="G231" s="34"/>
      <c r="H231" s="84"/>
      <c r="J231" s="71" t="s">
        <v>279</v>
      </c>
      <c r="K231" s="34"/>
      <c r="L231" s="34"/>
      <c r="M231" s="84"/>
      <c r="N231" s="84"/>
      <c r="O231" s="100"/>
      <c r="Q231" s="35"/>
      <c r="R231" s="106"/>
      <c r="S231" s="36"/>
      <c r="T231" s="44"/>
      <c r="U231" s="44"/>
      <c r="V231" s="44"/>
      <c r="W231" s="44"/>
      <c r="X231" s="44"/>
      <c r="Y231" s="44"/>
      <c r="Z231" s="44"/>
      <c r="AA231" s="44"/>
      <c r="AB231" s="44"/>
      <c r="AC231" s="44"/>
      <c r="AD231" s="44"/>
      <c r="AE231" s="36"/>
      <c r="AF231" s="36"/>
      <c r="AG231" s="36"/>
      <c r="AH231" s="36"/>
      <c r="AI231" s="36"/>
      <c r="AJ231" s="36"/>
      <c r="AK231" s="36"/>
      <c r="AL231" s="36"/>
      <c r="AM231" s="36"/>
      <c r="AN231" s="37"/>
      <c r="AO231" s="37"/>
      <c r="AP231" s="37"/>
      <c r="AQ231" s="37"/>
      <c r="AR231" s="37"/>
      <c r="AS231" s="37"/>
      <c r="AT231" s="37"/>
      <c r="AU231" s="37"/>
      <c r="AV231" s="37"/>
      <c r="AW231" s="37"/>
      <c r="AX231" s="37"/>
      <c r="AY231" s="37"/>
      <c r="AZ231" s="37"/>
      <c r="BA231" s="37"/>
      <c r="BB231" s="37"/>
      <c r="BC231" s="37"/>
      <c r="BD231" s="37"/>
      <c r="BE231" s="37"/>
    </row>
    <row r="232" spans="2:59" s="31" customFormat="1" ht="15.5" x14ac:dyDescent="0.3">
      <c r="C232" s="34"/>
      <c r="D232" s="84"/>
      <c r="G232" s="34"/>
      <c r="H232" s="84"/>
      <c r="P232" s="69"/>
      <c r="Q232" s="108"/>
      <c r="R232" s="243"/>
      <c r="S232" s="108"/>
      <c r="T232" s="174"/>
      <c r="U232" s="44"/>
      <c r="V232" s="44"/>
      <c r="W232" s="44"/>
      <c r="X232" s="44"/>
      <c r="Y232" s="44"/>
      <c r="Z232" s="44"/>
      <c r="AA232" s="44"/>
      <c r="AB232" s="44"/>
      <c r="AC232" s="44"/>
      <c r="AD232" s="44"/>
      <c r="AE232" s="36"/>
      <c r="AF232" s="36"/>
      <c r="AG232" s="36"/>
      <c r="AH232" s="36"/>
      <c r="AI232" s="36"/>
      <c r="AJ232" s="36"/>
      <c r="AK232" s="36"/>
      <c r="AL232" s="36"/>
      <c r="AM232" s="36"/>
      <c r="AN232" s="36"/>
      <c r="AO232" s="36"/>
      <c r="AP232" s="37"/>
      <c r="AQ232" s="37"/>
      <c r="AR232" s="37"/>
      <c r="AS232" s="37"/>
      <c r="AT232" s="37"/>
      <c r="AU232" s="37"/>
      <c r="AV232" s="37"/>
      <c r="AW232" s="37"/>
      <c r="AX232" s="37"/>
      <c r="AY232" s="37"/>
      <c r="AZ232" s="37"/>
      <c r="BA232" s="37"/>
      <c r="BB232" s="37"/>
      <c r="BC232" s="37"/>
      <c r="BD232" s="37"/>
      <c r="BE232" s="37"/>
      <c r="BF232" s="37"/>
      <c r="BG232" s="37"/>
    </row>
    <row r="233" spans="2:59" s="298" customFormat="1" ht="18" x14ac:dyDescent="0.3">
      <c r="B233" s="295" t="s">
        <v>627</v>
      </c>
      <c r="C233" s="296"/>
      <c r="D233" s="297"/>
      <c r="G233" s="296"/>
      <c r="H233" s="297"/>
      <c r="K233" s="296"/>
      <c r="L233" s="296"/>
      <c r="M233" s="297"/>
      <c r="N233" s="297"/>
      <c r="O233" s="300"/>
      <c r="P233" s="320"/>
      <c r="Q233" s="304"/>
      <c r="R233" s="298" t="str">
        <f>IF(OR(ISNUMBER(#REF!),ISNUMBER(#REF!),ISNUMBER(#REF!)),SUM(#REF!,#REF!,#REF!),"")</f>
        <v/>
      </c>
      <c r="S233" s="303"/>
      <c r="T233" s="303"/>
      <c r="U233" s="303"/>
      <c r="V233" s="303"/>
      <c r="W233" s="303"/>
      <c r="X233" s="303"/>
      <c r="Y233" s="303"/>
      <c r="Z233" s="303"/>
      <c r="AA233" s="303"/>
      <c r="AB233" s="303"/>
      <c r="AC233" s="303"/>
      <c r="AD233" s="303"/>
      <c r="AE233" s="303"/>
      <c r="AF233" s="303"/>
      <c r="AG233" s="303"/>
      <c r="AH233" s="303"/>
      <c r="AI233" s="303"/>
      <c r="AJ233" s="303"/>
      <c r="AK233" s="303"/>
      <c r="AL233" s="303"/>
      <c r="AM233" s="303"/>
      <c r="AN233" s="304"/>
      <c r="AO233" s="304"/>
      <c r="AP233" s="304"/>
      <c r="AQ233" s="304"/>
      <c r="AR233" s="304"/>
      <c r="AS233" s="304"/>
      <c r="AT233" s="304"/>
      <c r="AU233" s="304"/>
      <c r="AV233" s="304"/>
      <c r="AW233" s="304"/>
      <c r="AX233" s="304"/>
      <c r="AY233" s="304"/>
      <c r="AZ233" s="304"/>
      <c r="BA233" s="304"/>
      <c r="BB233" s="304"/>
      <c r="BC233" s="304"/>
      <c r="BD233" s="304"/>
      <c r="BE233" s="304"/>
    </row>
    <row r="234" spans="2:59" s="31" customFormat="1" ht="15.5" x14ac:dyDescent="0.3">
      <c r="B234" s="9"/>
      <c r="C234" s="34"/>
      <c r="D234" s="84"/>
      <c r="G234" s="34" t="s">
        <v>43</v>
      </c>
      <c r="H234" s="84"/>
      <c r="K234" s="38" t="s">
        <v>329</v>
      </c>
      <c r="L234" s="38" t="s">
        <v>201</v>
      </c>
      <c r="M234" s="84"/>
      <c r="N234" s="84"/>
      <c r="O234" s="255" t="s">
        <v>644</v>
      </c>
      <c r="Q234" s="35"/>
      <c r="R234" s="44" t="s">
        <v>350</v>
      </c>
      <c r="S234" s="36"/>
      <c r="T234" s="44" t="s">
        <v>267</v>
      </c>
      <c r="U234" s="44" t="s">
        <v>268</v>
      </c>
      <c r="V234" s="44" t="s">
        <v>269</v>
      </c>
      <c r="W234" s="44" t="s">
        <v>272</v>
      </c>
      <c r="X234" s="44" t="s">
        <v>270</v>
      </c>
      <c r="Y234" s="44" t="s">
        <v>271</v>
      </c>
      <c r="Z234" s="44" t="s">
        <v>273</v>
      </c>
      <c r="AA234" s="225"/>
      <c r="AB234" s="44"/>
      <c r="AC234" s="44"/>
      <c r="AD234" s="44"/>
      <c r="AE234" s="36"/>
      <c r="AF234" s="36"/>
      <c r="AG234" s="36"/>
      <c r="AH234" s="36"/>
      <c r="AI234" s="36"/>
      <c r="AJ234" s="36"/>
      <c r="AK234" s="36"/>
      <c r="AL234" s="36"/>
      <c r="AM234" s="36"/>
      <c r="AN234" s="37"/>
      <c r="AO234" s="37"/>
      <c r="AP234" s="37"/>
      <c r="AQ234" s="37"/>
      <c r="AR234" s="37"/>
      <c r="AS234" s="37"/>
      <c r="AT234" s="37"/>
      <c r="AU234" s="37"/>
      <c r="AV234" s="37"/>
      <c r="AW234" s="37"/>
      <c r="AX234" s="37"/>
      <c r="AY234" s="37"/>
      <c r="AZ234" s="37"/>
      <c r="BA234" s="37"/>
      <c r="BB234" s="37"/>
      <c r="BC234" s="37"/>
      <c r="BD234" s="37"/>
      <c r="BE234" s="37"/>
    </row>
    <row r="235" spans="2:59" s="31" customFormat="1" ht="15.5" x14ac:dyDescent="0.3">
      <c r="B235" s="54" t="s">
        <v>582</v>
      </c>
      <c r="C235" s="160"/>
      <c r="D235" s="84" t="s">
        <v>234</v>
      </c>
      <c r="G235" s="160"/>
      <c r="H235" s="84" t="s">
        <v>44</v>
      </c>
      <c r="J235" s="33" t="s">
        <v>566</v>
      </c>
      <c r="K235" s="112">
        <f>IF(ISNUMBER(L235),L235,IF(C239=Pudotusvalikot!$J$4,Kalusto!$E$98,IF(C239=Pudotusvalikot!$J$5,Kalusto!$E$99,IF(C239=Pudotusvalikot!$J$6,Kalusto!$E$100,IF(C239=Pudotusvalikot!$J$7,Kalusto!$E$101,IF(C239=Pudotusvalikot!$J$8,Kalusto!$E$102,IF(C239=Pudotusvalikot!$J$9,Kalusto!$E$103,IF(C239=Pudotusvalikot!$J$11,Kalusto!$E$104,Kalusto!$E$98))))))))</f>
        <v>5.5</v>
      </c>
      <c r="L235" s="63"/>
      <c r="M235" s="77" t="str">
        <f>IF(C239=Pudotusvalikot!$J$9,"kWh/100 km",IF(C239=Pudotusvalikot!$J$6,"kg/100 km","l/100 km"))</f>
        <v>l/100 km</v>
      </c>
      <c r="N235" s="77"/>
      <c r="O235" s="256"/>
      <c r="Q235" s="35"/>
      <c r="R235" s="242">
        <f>SUM(U235:Z235)</f>
        <v>0</v>
      </c>
      <c r="S235" s="102" t="s">
        <v>172</v>
      </c>
      <c r="T235" s="216">
        <f>IF(ISNUMBER(C236*C235*G235),C236*C235*G235,"")</f>
        <v>0</v>
      </c>
      <c r="U235" s="218">
        <f>IF(ISNUMBER(T235),IF(C239=Pudotusvalikot!$J$5,(Muut!$H$15+Muut!$H$18)*(T235*K235/100),0),"")</f>
        <v>0</v>
      </c>
      <c r="V235" s="218">
        <f>IF(ISNUMBER(T235),IF(C239=Pudotusvalikot!$J$4,(Muut!$H$14+Muut!$H$17)*(T235*K235/100),0),"")</f>
        <v>0</v>
      </c>
      <c r="W235" s="218">
        <f>IF(ISNUMBER(T235),IF(C239=Pudotusvalikot!$J$6,(Muut!$H$16+Muut!$H$19)*(T235*K235/100),0),"")</f>
        <v>0</v>
      </c>
      <c r="X235" s="218">
        <f>IF(ISNUMBER(T235),IF(C239=Pudotusvalikot!$J$7,((Muut!$H$15+Muut!$H$18)*(100%-Kalusto!$O$101)+(Muut!$H$14+Muut!$H$17)*Kalusto!$O$101)*(T235*K235/100),0),"")</f>
        <v>0</v>
      </c>
      <c r="Y235" s="230">
        <f>IF(ISNUMBER(T235),IF(C239=Pudotusvalikot!$J$8,((Kalusto!$K$102)*(100%-Kalusto!$O$102)+(Kalusto!$M$102)*Kalusto!$O$102)*(Muut!$H$13+Muut!$H$12)/100*T235/1000+((Kalusto!$G$102)*(100%-Kalusto!$O$102)+(Kalusto!$I$102)*Kalusto!$O$102)*(K235+Muut!$H$18)/100*T235,0),"")</f>
        <v>0</v>
      </c>
      <c r="Z235" s="230">
        <f>IF(ISNUMBER(T235),IF(C239=Pudotusvalikot!$J$9,Kalusto!$E$103*(K235+Muut!$H$12)/100*T235/1000,0),"")</f>
        <v>0</v>
      </c>
      <c r="AA235" s="225"/>
      <c r="AB235" s="44"/>
      <c r="AC235" s="44"/>
      <c r="AD235" s="44"/>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9" s="31" customFormat="1" ht="15.5" x14ac:dyDescent="0.3">
      <c r="B236" s="45" t="s">
        <v>581</v>
      </c>
      <c r="C236" s="160"/>
      <c r="D236" s="84" t="s">
        <v>5</v>
      </c>
      <c r="G236" s="34"/>
      <c r="H236" s="84"/>
      <c r="K236" s="134"/>
      <c r="L236" s="38"/>
      <c r="M236" s="84"/>
      <c r="N236" s="84"/>
      <c r="O236" s="100"/>
      <c r="Q236" s="35"/>
      <c r="R236" s="44" t="s">
        <v>350</v>
      </c>
      <c r="S236" s="36"/>
      <c r="T236" s="44" t="s">
        <v>267</v>
      </c>
      <c r="U236" s="44" t="s">
        <v>268</v>
      </c>
      <c r="V236" s="44" t="s">
        <v>269</v>
      </c>
      <c r="W236" s="44" t="s">
        <v>272</v>
      </c>
      <c r="X236" s="44" t="s">
        <v>270</v>
      </c>
      <c r="Y236" s="44" t="s">
        <v>271</v>
      </c>
      <c r="Z236" s="44" t="s">
        <v>273</v>
      </c>
      <c r="AA236" s="225"/>
      <c r="AB236" s="44"/>
      <c r="AC236" s="44"/>
      <c r="AD236" s="44"/>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9" s="31" customFormat="1" ht="31" x14ac:dyDescent="0.3">
      <c r="B237" s="78" t="s">
        <v>580</v>
      </c>
      <c r="C237" s="160"/>
      <c r="D237" s="84" t="s">
        <v>235</v>
      </c>
      <c r="G237" s="160"/>
      <c r="H237" s="84" t="s">
        <v>44</v>
      </c>
      <c r="J237" s="33" t="s">
        <v>566</v>
      </c>
      <c r="K237" s="112">
        <f>IF(ISNUMBER(L237),L237,IF(C239=Pudotusvalikot!$J$4,Kalusto!$E$98,IF(C239=Pudotusvalikot!$J$5,Kalusto!$E$99,IF(C239=Pudotusvalikot!$J$6,Kalusto!$E$100,IF(C239=Pudotusvalikot!$J$7,Kalusto!$E$101,IF(C239=Pudotusvalikot!$J$8,Kalusto!$E$102,IF(C239=Pudotusvalikot!$J$9,Kalusto!$E$103,IF(C239=Pudotusvalikot!$J$11,Kalusto!$E$104,Kalusto!$E$98))))))))</f>
        <v>5.5</v>
      </c>
      <c r="L237" s="63"/>
      <c r="M237" s="77" t="str">
        <f>IF(C239=Pudotusvalikot!$J$9,"kWh/100 km",IF(C239=Pudotusvalikot!$J$6,"kg/100 km","l/100 km"))</f>
        <v>l/100 km</v>
      </c>
      <c r="N237" s="77"/>
      <c r="O237" s="269"/>
      <c r="Q237" s="35"/>
      <c r="R237" s="242">
        <f>SUM(U237:Z237)</f>
        <v>0</v>
      </c>
      <c r="S237" s="102" t="s">
        <v>172</v>
      </c>
      <c r="T237" s="216">
        <f>IF(ISNUMBER(C238*C237*50*G237),C238*C237*50*G237,"")</f>
        <v>0</v>
      </c>
      <c r="U237" s="218">
        <f>IF(ISNUMBER(T237),IF(C239=Pudotusvalikot!$J$5,(Muut!$H$15+Muut!$H$18)*(T237*K237/100),0),"")</f>
        <v>0</v>
      </c>
      <c r="V237" s="218">
        <f>IF(ISNUMBER(T237),IF(C239=Pudotusvalikot!$J$4,(Muut!$H$14+Muut!$H$17)*(T237*K237/100),0),"")</f>
        <v>0</v>
      </c>
      <c r="W237" s="218">
        <f>IF(ISNUMBER(T237),IF(C239=Pudotusvalikot!$J$6,(Muut!$H$16+Muut!$H$19)*(T237*K237/100),0),"")</f>
        <v>0</v>
      </c>
      <c r="X237" s="218">
        <f>IF(ISNUMBER(T237),IF(C239=Pudotusvalikot!$J$7,((Muut!$H$15+Muut!$H$18)*(100%-Kalusto!$O$101)+(Muut!$H$14+Muut!$H$17)*Kalusto!$O$101)*(T237*K237/100),0),"")</f>
        <v>0</v>
      </c>
      <c r="Y237" s="230">
        <f>IF(ISNUMBER(T237),IF(C239=Pudotusvalikot!$J$8,((Kalusto!$K$102)*(100%-Kalusto!$O$102)+(Kalusto!$M$102)*Kalusto!$O$102)*(Muut!$H$13+Muut!$H$12)/100*T237/1000+((Kalusto!$G$102)*(100%-Kalusto!$O$102)+(Kalusto!$I$102)*Kalusto!$O$102)*(K237+Muut!$H$18)/100*T237,0),"")</f>
        <v>0</v>
      </c>
      <c r="Z237" s="230">
        <f>IF(ISNUMBER(T237),IF(C239=Pudotusvalikot!$J$9,Kalusto!$E$103*(K237+Muut!$H$12)/100*T237/1000,0),"")</f>
        <v>0</v>
      </c>
      <c r="AA237" s="225"/>
      <c r="AB237" s="44"/>
      <c r="AC237" s="44"/>
      <c r="AD237" s="44"/>
      <c r="AE237" s="36"/>
      <c r="AF237" s="36"/>
      <c r="AG237" s="36"/>
      <c r="AH237" s="36"/>
      <c r="AI237" s="36"/>
      <c r="AJ237" s="36"/>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9" s="31" customFormat="1" ht="15.5" x14ac:dyDescent="0.3">
      <c r="B238" s="45" t="s">
        <v>579</v>
      </c>
      <c r="C238" s="160"/>
      <c r="D238" s="84" t="s">
        <v>5</v>
      </c>
      <c r="G238" s="34"/>
      <c r="H238" s="84"/>
      <c r="K238" s="134"/>
      <c r="L238" s="38"/>
      <c r="M238" s="84"/>
      <c r="N238" s="84"/>
      <c r="O238" s="100"/>
      <c r="Q238" s="35"/>
      <c r="R238" s="106"/>
      <c r="S238" s="36"/>
      <c r="T238" s="44"/>
      <c r="U238" s="44"/>
      <c r="V238" s="44"/>
      <c r="W238" s="44"/>
      <c r="X238" s="44"/>
      <c r="Y238" s="44"/>
      <c r="Z238" s="44"/>
      <c r="AA238" s="44"/>
      <c r="AB238" s="44"/>
      <c r="AC238" s="44"/>
      <c r="AD238" s="44"/>
      <c r="AE238" s="36"/>
      <c r="AF238" s="36"/>
      <c r="AG238" s="36"/>
      <c r="AH238" s="36"/>
      <c r="AI238" s="36"/>
      <c r="AJ238" s="36"/>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9" s="31" customFormat="1" ht="15.5" x14ac:dyDescent="0.3">
      <c r="B239" s="54" t="s">
        <v>576</v>
      </c>
      <c r="C239" s="399" t="s">
        <v>242</v>
      </c>
      <c r="D239" s="399"/>
      <c r="G239" s="34"/>
      <c r="H239" s="84"/>
      <c r="J239" s="33"/>
      <c r="K239" s="34"/>
      <c r="L239" s="34"/>
      <c r="M239" s="84"/>
      <c r="N239" s="84"/>
      <c r="O239" s="100"/>
      <c r="Q239" s="35"/>
      <c r="R239" s="106"/>
      <c r="S239" s="36"/>
      <c r="T239" s="44"/>
      <c r="U239" s="44"/>
      <c r="V239" s="44"/>
      <c r="W239" s="44"/>
      <c r="X239" s="44"/>
      <c r="Y239" s="44"/>
      <c r="Z239" s="44"/>
      <c r="AA239" s="44"/>
      <c r="AB239" s="44"/>
      <c r="AC239" s="44"/>
      <c r="AD239" s="44"/>
      <c r="AE239" s="36"/>
      <c r="AF239" s="36"/>
      <c r="AG239" s="36"/>
      <c r="AH239" s="36"/>
      <c r="AI239" s="36"/>
      <c r="AJ239" s="36"/>
      <c r="AK239" s="36"/>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9" s="31" customFormat="1" ht="15.5" x14ac:dyDescent="0.3">
      <c r="B240" s="54"/>
      <c r="C240" s="34"/>
      <c r="D240" s="34"/>
      <c r="E240" s="59"/>
      <c r="G240" s="34"/>
      <c r="H240" s="84"/>
      <c r="J240" s="33"/>
      <c r="K240" s="34"/>
      <c r="L240" s="34"/>
      <c r="M240" s="84"/>
      <c r="N240" s="84"/>
      <c r="O240" s="100"/>
      <c r="Q240" s="35"/>
      <c r="R240" s="106"/>
      <c r="S240" s="36"/>
      <c r="T240" s="44"/>
      <c r="U240" s="44"/>
      <c r="V240" s="44"/>
      <c r="W240" s="44"/>
      <c r="X240" s="44"/>
      <c r="Y240" s="44"/>
      <c r="Z240" s="44"/>
      <c r="AA240" s="44"/>
      <c r="AB240" s="44"/>
      <c r="AC240" s="44"/>
      <c r="AD240" s="44"/>
      <c r="AE240" s="36"/>
      <c r="AF240" s="36"/>
      <c r="AG240" s="36"/>
      <c r="AH240" s="36"/>
      <c r="AI240" s="36"/>
      <c r="AJ240" s="36"/>
      <c r="AK240" s="36"/>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9" s="196" customFormat="1" ht="23" x14ac:dyDescent="0.3">
      <c r="B241" s="197" t="s">
        <v>653</v>
      </c>
      <c r="C241" s="198"/>
      <c r="D241" s="199"/>
      <c r="G241" s="198"/>
      <c r="H241" s="199"/>
      <c r="J241" s="200"/>
      <c r="O241" s="270"/>
      <c r="P241" s="201"/>
      <c r="Q241" s="202"/>
      <c r="R241" s="237"/>
      <c r="S241" s="202"/>
      <c r="T241" s="214"/>
      <c r="U241" s="215"/>
      <c r="V241" s="215"/>
      <c r="W241" s="215"/>
      <c r="X241" s="215"/>
      <c r="Y241" s="215"/>
      <c r="Z241" s="215"/>
      <c r="AA241" s="215"/>
      <c r="AB241" s="215"/>
      <c r="AC241" s="215"/>
      <c r="AD241" s="215"/>
      <c r="AE241" s="205"/>
      <c r="AF241" s="205"/>
      <c r="AG241" s="205"/>
      <c r="AH241" s="205"/>
      <c r="AI241" s="205"/>
      <c r="AJ241" s="205"/>
      <c r="AK241" s="205"/>
      <c r="AL241" s="205"/>
      <c r="AM241" s="205"/>
      <c r="AN241" s="205"/>
      <c r="AO241" s="205"/>
      <c r="AP241" s="204"/>
      <c r="AQ241" s="204"/>
      <c r="AR241" s="204"/>
      <c r="AS241" s="204"/>
      <c r="AT241" s="204"/>
      <c r="AU241" s="204"/>
      <c r="AV241" s="204"/>
      <c r="AW241" s="204"/>
      <c r="AX241" s="204"/>
      <c r="AY241" s="204"/>
      <c r="AZ241" s="204"/>
      <c r="BA241" s="204"/>
      <c r="BB241" s="204"/>
      <c r="BC241" s="204"/>
      <c r="BD241" s="204"/>
      <c r="BE241" s="204"/>
      <c r="BF241" s="204"/>
      <c r="BG241" s="204"/>
    </row>
    <row r="242" spans="2:59" s="31" customFormat="1" ht="15.5" x14ac:dyDescent="0.3">
      <c r="B242" s="9"/>
      <c r="C242" s="34"/>
      <c r="D242" s="84"/>
      <c r="G242" s="34"/>
      <c r="H242" s="84"/>
      <c r="K242" s="34"/>
      <c r="L242" s="34"/>
      <c r="M242" s="84"/>
      <c r="N242" s="84"/>
      <c r="O242" s="84"/>
      <c r="Q242" s="35"/>
      <c r="R242" s="106"/>
      <c r="S242" s="36"/>
      <c r="T242" s="44"/>
      <c r="U242" s="44"/>
      <c r="V242" s="44"/>
      <c r="W242" s="44"/>
      <c r="X242" s="44"/>
      <c r="Y242" s="44"/>
      <c r="Z242" s="44"/>
      <c r="AA242" s="44"/>
      <c r="AB242" s="44"/>
      <c r="AC242" s="44"/>
      <c r="AD242" s="44"/>
      <c r="AE242" s="36"/>
      <c r="AF242" s="36"/>
      <c r="AG242" s="36"/>
      <c r="AH242" s="36"/>
      <c r="AI242" s="36"/>
      <c r="AJ242" s="36"/>
      <c r="AK242" s="36"/>
      <c r="AL242" s="36"/>
      <c r="AM242" s="36"/>
      <c r="AN242" s="37"/>
      <c r="AO242" s="37"/>
      <c r="AP242" s="37"/>
      <c r="AQ242" s="37"/>
      <c r="AR242" s="37"/>
      <c r="AS242" s="37"/>
      <c r="AT242" s="37"/>
      <c r="AU242" s="37"/>
      <c r="AV242" s="37"/>
      <c r="AW242" s="37"/>
      <c r="AX242" s="37"/>
      <c r="AY242" s="37"/>
      <c r="AZ242" s="37"/>
      <c r="BA242" s="37"/>
      <c r="BB242" s="37"/>
      <c r="BC242" s="37"/>
      <c r="BD242" s="37"/>
      <c r="BE242" s="37"/>
    </row>
    <row r="243" spans="2:59" s="298" customFormat="1" ht="18" x14ac:dyDescent="0.3">
      <c r="B243" s="295" t="s">
        <v>486</v>
      </c>
      <c r="C243" s="296"/>
      <c r="D243" s="297"/>
      <c r="G243" s="296"/>
      <c r="H243" s="297"/>
      <c r="K243" s="296"/>
      <c r="L243" s="296"/>
      <c r="M243" s="297"/>
      <c r="N243" s="297"/>
      <c r="O243" s="300"/>
      <c r="P243" s="320"/>
      <c r="Q243" s="304"/>
      <c r="R243" s="298" t="str">
        <f>IF(OR(ISNUMBER(#REF!),ISNUMBER(#REF!),ISNUMBER(#REF!)),SUM(#REF!,#REF!,#REF!),"")</f>
        <v/>
      </c>
      <c r="S243" s="303"/>
      <c r="T243" s="303"/>
      <c r="U243" s="303"/>
      <c r="V243" s="303"/>
      <c r="W243" s="303"/>
      <c r="X243" s="303"/>
      <c r="Y243" s="303"/>
      <c r="Z243" s="303"/>
      <c r="AA243" s="303"/>
      <c r="AB243" s="303"/>
      <c r="AC243" s="303"/>
      <c r="AD243" s="303"/>
      <c r="AE243" s="303"/>
      <c r="AF243" s="303"/>
      <c r="AG243" s="303"/>
      <c r="AH243" s="303"/>
      <c r="AI243" s="303"/>
      <c r="AJ243" s="303"/>
      <c r="AK243" s="303"/>
      <c r="AL243" s="303"/>
      <c r="AM243" s="303"/>
      <c r="AN243" s="304"/>
      <c r="AO243" s="304"/>
      <c r="AP243" s="304"/>
      <c r="AQ243" s="304"/>
      <c r="AR243" s="304"/>
      <c r="AS243" s="304"/>
      <c r="AT243" s="304"/>
      <c r="AU243" s="304"/>
      <c r="AV243" s="304"/>
      <c r="AW243" s="304"/>
      <c r="AX243" s="304"/>
      <c r="AY243" s="304"/>
      <c r="AZ243" s="304"/>
      <c r="BA243" s="304"/>
      <c r="BB243" s="304"/>
      <c r="BC243" s="304"/>
      <c r="BD243" s="304"/>
      <c r="BE243" s="304"/>
    </row>
    <row r="244" spans="2:59" s="31" customFormat="1" ht="15.5" x14ac:dyDescent="0.3">
      <c r="B244" s="179"/>
      <c r="C244" s="34"/>
      <c r="D244" s="84"/>
      <c r="G244" s="34"/>
      <c r="H244" s="84"/>
      <c r="K244" s="34"/>
      <c r="L244" s="34"/>
      <c r="M244" s="84"/>
      <c r="N244" s="84"/>
      <c r="O244" s="84"/>
      <c r="Q244" s="35"/>
      <c r="R244" s="106"/>
      <c r="S244" s="36"/>
      <c r="T244" s="44"/>
      <c r="U244" s="44"/>
      <c r="V244" s="44"/>
      <c r="W244" s="44"/>
      <c r="X244" s="44"/>
      <c r="Y244" s="44"/>
      <c r="Z244" s="44"/>
      <c r="AA244" s="44"/>
      <c r="AB244" s="44"/>
      <c r="AC244" s="44"/>
      <c r="AD244" s="44"/>
      <c r="AE244" s="44"/>
      <c r="AF244" s="44"/>
      <c r="AG244" s="44"/>
      <c r="AH244" s="44"/>
      <c r="AI244" s="36"/>
      <c r="AJ244" s="36"/>
      <c r="AK244" s="36"/>
      <c r="AL244" s="36"/>
      <c r="AM244" s="36"/>
      <c r="AN244" s="37"/>
      <c r="AO244" s="37"/>
      <c r="AP244" s="37"/>
      <c r="AQ244" s="37"/>
      <c r="AR244" s="37"/>
      <c r="AS244" s="37"/>
      <c r="AT244" s="37"/>
      <c r="AU244" s="37"/>
      <c r="AV244" s="37"/>
      <c r="AW244" s="37"/>
      <c r="AX244" s="37"/>
      <c r="AY244" s="37"/>
      <c r="AZ244" s="37"/>
      <c r="BA244" s="37"/>
      <c r="BB244" s="37"/>
      <c r="BC244" s="37"/>
      <c r="BD244" s="37"/>
      <c r="BE244" s="37"/>
    </row>
    <row r="245" spans="2:59" s="298" customFormat="1" ht="18" x14ac:dyDescent="0.3">
      <c r="B245" s="295" t="s">
        <v>55</v>
      </c>
      <c r="C245" s="296"/>
      <c r="D245" s="297"/>
      <c r="G245" s="296"/>
      <c r="H245" s="297"/>
      <c r="K245" s="296"/>
      <c r="L245" s="296"/>
      <c r="M245" s="297"/>
      <c r="N245" s="297"/>
      <c r="O245" s="300"/>
      <c r="P245" s="320"/>
      <c r="Q245" s="304"/>
      <c r="R245" s="298" t="str">
        <f>IF(OR(ISNUMBER(#REF!),ISNUMBER(#REF!),ISNUMBER(#REF!)),SUM(#REF!,#REF!,#REF!),"")</f>
        <v/>
      </c>
      <c r="S245" s="303"/>
      <c r="T245" s="303"/>
      <c r="U245" s="303"/>
      <c r="V245" s="303"/>
      <c r="W245" s="303"/>
      <c r="X245" s="303"/>
      <c r="Y245" s="303"/>
      <c r="Z245" s="303"/>
      <c r="AA245" s="303"/>
      <c r="AB245" s="303"/>
      <c r="AC245" s="303"/>
      <c r="AD245" s="303"/>
      <c r="AE245" s="303"/>
      <c r="AF245" s="303"/>
      <c r="AG245" s="303"/>
      <c r="AH245" s="303"/>
      <c r="AI245" s="303"/>
      <c r="AJ245" s="303"/>
      <c r="AK245" s="303"/>
      <c r="AL245" s="303"/>
      <c r="AM245" s="303"/>
      <c r="AN245" s="304"/>
      <c r="AO245" s="304"/>
      <c r="AP245" s="304"/>
      <c r="AQ245" s="304"/>
      <c r="AR245" s="304"/>
      <c r="AS245" s="304"/>
      <c r="AT245" s="304"/>
      <c r="AU245" s="304"/>
      <c r="AV245" s="304"/>
      <c r="AW245" s="304"/>
      <c r="AX245" s="304"/>
      <c r="AY245" s="304"/>
      <c r="AZ245" s="304"/>
      <c r="BA245" s="304"/>
      <c r="BB245" s="304"/>
      <c r="BC245" s="304"/>
      <c r="BD245" s="304"/>
      <c r="BE245" s="304"/>
    </row>
    <row r="246" spans="2:59" s="31" customFormat="1" ht="15.5" x14ac:dyDescent="0.3">
      <c r="B246" s="9"/>
      <c r="C246" s="34"/>
      <c r="D246" s="84"/>
      <c r="G246" s="34"/>
      <c r="H246" s="84"/>
      <c r="K246" s="34"/>
      <c r="L246" s="34"/>
      <c r="M246" s="84"/>
      <c r="N246" s="84"/>
      <c r="O246" s="84"/>
      <c r="Q246" s="35"/>
      <c r="R246" s="106"/>
      <c r="S246" s="36"/>
      <c r="T246" s="44"/>
      <c r="U246" s="44"/>
      <c r="V246" s="44"/>
      <c r="W246" s="44"/>
      <c r="X246" s="44"/>
      <c r="Y246" s="44"/>
      <c r="Z246" s="44"/>
      <c r="AA246" s="44"/>
      <c r="AB246" s="44"/>
      <c r="AC246" s="44"/>
      <c r="AD246" s="44"/>
      <c r="AE246" s="36"/>
      <c r="AF246" s="36"/>
      <c r="AG246" s="36"/>
      <c r="AH246" s="36"/>
      <c r="AI246" s="36"/>
      <c r="AJ246" s="36"/>
      <c r="AK246" s="36"/>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9" s="31" customFormat="1" ht="15.5" x14ac:dyDescent="0.3">
      <c r="B247" s="155" t="s">
        <v>487</v>
      </c>
      <c r="C247" s="34"/>
      <c r="D247" s="84"/>
      <c r="G247" s="34"/>
      <c r="H247" s="84"/>
      <c r="K247" s="38" t="s">
        <v>329</v>
      </c>
      <c r="L247" s="38" t="s">
        <v>201</v>
      </c>
      <c r="M247" s="84"/>
      <c r="N247" s="84"/>
      <c r="O247" s="255" t="s">
        <v>644</v>
      </c>
      <c r="Q247" s="35"/>
      <c r="R247" s="44" t="s">
        <v>350</v>
      </c>
      <c r="S247" s="36"/>
      <c r="T247" s="44" t="s">
        <v>275</v>
      </c>
      <c r="U247" s="225"/>
      <c r="V247" s="44"/>
      <c r="W247" s="44"/>
      <c r="X247" s="44"/>
      <c r="Y247" s="44"/>
      <c r="Z247" s="44"/>
      <c r="AA247" s="44"/>
      <c r="AB247" s="44"/>
      <c r="AC247" s="44"/>
      <c r="AD247" s="44"/>
      <c r="AE247" s="36"/>
      <c r="AF247" s="36"/>
      <c r="AG247" s="36"/>
      <c r="AH247" s="36"/>
      <c r="AI247" s="36"/>
      <c r="AJ247" s="36"/>
      <c r="AK247" s="36"/>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9" s="31" customFormat="1" ht="15.5" x14ac:dyDescent="0.3">
      <c r="B248" s="54" t="s">
        <v>510</v>
      </c>
      <c r="C248" s="392" t="s">
        <v>128</v>
      </c>
      <c r="D248" s="393"/>
      <c r="E248" s="393"/>
      <c r="F248" s="393"/>
      <c r="G248" s="394"/>
      <c r="H248" s="84"/>
      <c r="J248" s="33" t="s">
        <v>470</v>
      </c>
      <c r="K248" s="96">
        <f>IF(ISNUMBER(L248),L248,IF(OR(C248=Pudotusvalikot!$D$67,C248=Pudotusvalikot!$D$68),"--",VLOOKUP(C248,Kalusto!$C$5:$E$42,3,FALSE)*IF(OR(C249=Pudotusvalikot!$V$3,C249=Pudotusvalikot!$V$4),Muut!$E$38,IF(C249=Pudotusvalikot!$V$5,Muut!$E$39,IF(C249=Pudotusvalikot!$V$6,Muut!$E$40,Muut!$E$41)))))</f>
        <v>34.130000000000003</v>
      </c>
      <c r="L248" s="40"/>
      <c r="M248" s="41" t="s">
        <v>205</v>
      </c>
      <c r="N248" s="41"/>
      <c r="O248" s="256"/>
      <c r="Q248" s="35"/>
      <c r="R248" s="218" t="str">
        <f>IF(ISNUMBER(K248*T248),K248*T248,"")</f>
        <v/>
      </c>
      <c r="S248" s="102" t="s">
        <v>172</v>
      </c>
      <c r="T248" s="218" t="str">
        <f>IF(ISNUMBER(C250),C250,"")</f>
        <v/>
      </c>
      <c r="U248" s="225"/>
      <c r="V248" s="221"/>
      <c r="W248" s="44"/>
      <c r="X248" s="44"/>
      <c r="Y248" s="44"/>
      <c r="Z248" s="44"/>
      <c r="AA248" s="44"/>
      <c r="AB248" s="44"/>
      <c r="AC248" s="44"/>
      <c r="AD248" s="44"/>
      <c r="AE248" s="36"/>
      <c r="AF248" s="36"/>
      <c r="AG248" s="36"/>
      <c r="AH248" s="36"/>
      <c r="AI248" s="36"/>
      <c r="AJ248" s="36"/>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9" s="31" customFormat="1" ht="15.5" x14ac:dyDescent="0.3">
      <c r="B249" s="170" t="s">
        <v>509</v>
      </c>
      <c r="C249" s="160" t="s">
        <v>242</v>
      </c>
      <c r="D249" s="34"/>
      <c r="E249" s="34"/>
      <c r="F249" s="34"/>
      <c r="G249" s="34"/>
      <c r="H249" s="59"/>
      <c r="J249" s="173"/>
      <c r="K249" s="173"/>
      <c r="L249" s="173"/>
      <c r="M249" s="41"/>
      <c r="N249" s="41"/>
      <c r="O249" s="265"/>
      <c r="Q249" s="47"/>
      <c r="R249" s="221"/>
      <c r="S249" s="102"/>
      <c r="T249" s="44"/>
      <c r="U249" s="44"/>
      <c r="V249" s="220"/>
      <c r="W249" s="220"/>
      <c r="X249" s="221"/>
      <c r="Y249" s="44"/>
      <c r="Z249" s="221"/>
      <c r="AA249" s="222"/>
      <c r="AB249" s="221"/>
      <c r="AC249" s="221"/>
      <c r="AD249" s="221"/>
      <c r="AE249" s="61"/>
      <c r="AF249" s="182"/>
      <c r="AG249" s="61"/>
      <c r="AH249" s="36"/>
      <c r="AI249" s="36"/>
      <c r="AJ249" s="36"/>
      <c r="AK249" s="108"/>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9" s="31" customFormat="1" ht="15.5" x14ac:dyDescent="0.3">
      <c r="B250" s="54" t="s">
        <v>473</v>
      </c>
      <c r="C250" s="193"/>
      <c r="D250" s="84" t="s">
        <v>51</v>
      </c>
      <c r="G250" s="34"/>
      <c r="H250" s="84"/>
      <c r="J250" s="33"/>
      <c r="K250" s="34"/>
      <c r="L250" s="34"/>
      <c r="M250" s="84"/>
      <c r="N250" s="84"/>
      <c r="O250" s="100"/>
      <c r="Q250" s="35"/>
      <c r="R250" s="44"/>
      <c r="S250" s="36"/>
      <c r="T250" s="44"/>
      <c r="U250" s="225"/>
      <c r="V250" s="44"/>
      <c r="W250" s="44"/>
      <c r="X250" s="44"/>
      <c r="Y250" s="44"/>
      <c r="Z250" s="44"/>
      <c r="AA250" s="44"/>
      <c r="AB250" s="44"/>
      <c r="AC250" s="44"/>
      <c r="AD250" s="44"/>
      <c r="AE250" s="36"/>
      <c r="AF250" s="36"/>
      <c r="AG250" s="36"/>
      <c r="AH250" s="36"/>
      <c r="AI250" s="36"/>
      <c r="AJ250" s="36"/>
      <c r="AK250" s="36"/>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9" s="31" customFormat="1" ht="15.5" x14ac:dyDescent="0.3">
      <c r="B251" s="155" t="s">
        <v>488</v>
      </c>
      <c r="C251" s="34"/>
      <c r="D251" s="84"/>
      <c r="G251" s="34"/>
      <c r="H251" s="84"/>
      <c r="J251" s="33"/>
      <c r="K251" s="38" t="s">
        <v>329</v>
      </c>
      <c r="L251" s="38" t="s">
        <v>201</v>
      </c>
      <c r="M251" s="84"/>
      <c r="N251" s="84"/>
      <c r="O251" s="100"/>
      <c r="Q251" s="35"/>
      <c r="R251" s="44" t="s">
        <v>350</v>
      </c>
      <c r="S251" s="36"/>
      <c r="T251" s="44" t="s">
        <v>275</v>
      </c>
      <c r="U251" s="225"/>
      <c r="V251" s="44"/>
      <c r="W251" s="44"/>
      <c r="X251" s="44"/>
      <c r="Y251" s="44"/>
      <c r="Z251" s="44"/>
      <c r="AA251" s="44"/>
      <c r="AB251" s="44"/>
      <c r="AC251" s="44"/>
      <c r="AD251" s="44"/>
      <c r="AE251" s="36"/>
      <c r="AF251" s="36"/>
      <c r="AG251" s="36"/>
      <c r="AH251" s="36"/>
      <c r="AI251" s="36"/>
      <c r="AJ251" s="36"/>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9" s="31" customFormat="1" ht="15.5" x14ac:dyDescent="0.3">
      <c r="B252" s="54" t="s">
        <v>510</v>
      </c>
      <c r="C252" s="392" t="s">
        <v>128</v>
      </c>
      <c r="D252" s="393"/>
      <c r="E252" s="393"/>
      <c r="F252" s="393"/>
      <c r="G252" s="394"/>
      <c r="H252" s="84"/>
      <c r="J252" s="33" t="s">
        <v>470</v>
      </c>
      <c r="K252" s="96">
        <f>IF(ISNUMBER(L252),L252,IF(OR(C252=Pudotusvalikot!$D$67,C252=Pudotusvalikot!$D$68),"--",VLOOKUP(C252,Kalusto!$C$5:$E$42,3,FALSE)*IF(OR(C253=Pudotusvalikot!$V$3,C253=Pudotusvalikot!$V$4),Muut!$E$38,IF(C253=Pudotusvalikot!$V$5,Muut!$E$39,IF(C253=Pudotusvalikot!$V$6,Muut!$E$40,Muut!$E$41)))))</f>
        <v>34.130000000000003</v>
      </c>
      <c r="L252" s="40"/>
      <c r="M252" s="41" t="s">
        <v>205</v>
      </c>
      <c r="N252" s="41"/>
      <c r="O252" s="265"/>
      <c r="Q252" s="35"/>
      <c r="R252" s="218" t="str">
        <f>IF(ISNUMBER(K252*T252),K252*T252,"")</f>
        <v/>
      </c>
      <c r="S252" s="102" t="s">
        <v>172</v>
      </c>
      <c r="T252" s="218" t="str">
        <f>IF(ISNUMBER(C254),C254,"")</f>
        <v/>
      </c>
      <c r="U252" s="225"/>
      <c r="V252" s="221"/>
      <c r="W252" s="44"/>
      <c r="X252" s="44"/>
      <c r="Y252" s="44"/>
      <c r="Z252" s="44"/>
      <c r="AA252" s="44"/>
      <c r="AB252" s="44"/>
      <c r="AC252" s="44"/>
      <c r="AD252" s="44"/>
      <c r="AE252" s="36"/>
      <c r="AF252" s="36"/>
      <c r="AG252" s="36"/>
      <c r="AH252" s="36"/>
      <c r="AI252" s="36"/>
      <c r="AJ252" s="36"/>
      <c r="AK252" s="36"/>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9" s="31" customFormat="1" ht="15.5" x14ac:dyDescent="0.3">
      <c r="B253" s="170" t="s">
        <v>509</v>
      </c>
      <c r="C253" s="160" t="s">
        <v>242</v>
      </c>
      <c r="D253" s="34"/>
      <c r="E253" s="34"/>
      <c r="F253" s="34"/>
      <c r="G253" s="34"/>
      <c r="H253" s="59"/>
      <c r="J253" s="173"/>
      <c r="K253" s="173"/>
      <c r="L253" s="173"/>
      <c r="M253" s="41"/>
      <c r="N253" s="41"/>
      <c r="O253" s="265"/>
      <c r="Q253" s="47"/>
      <c r="R253" s="221"/>
      <c r="S253" s="102"/>
      <c r="T253" s="44"/>
      <c r="U253" s="44"/>
      <c r="V253" s="220"/>
      <c r="W253" s="220"/>
      <c r="X253" s="221"/>
      <c r="Y253" s="44"/>
      <c r="Z253" s="221"/>
      <c r="AA253" s="222"/>
      <c r="AB253" s="221"/>
      <c r="AC253" s="221"/>
      <c r="AD253" s="221"/>
      <c r="AE253" s="61"/>
      <c r="AF253" s="182"/>
      <c r="AG253" s="61"/>
      <c r="AH253" s="36"/>
      <c r="AI253" s="36"/>
      <c r="AJ253" s="36"/>
      <c r="AK253" s="108"/>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9" s="31" customFormat="1" ht="15.5" x14ac:dyDescent="0.3">
      <c r="B254" s="54" t="s">
        <v>473</v>
      </c>
      <c r="C254" s="193"/>
      <c r="D254" s="84" t="s">
        <v>51</v>
      </c>
      <c r="G254" s="34"/>
      <c r="H254" s="84"/>
      <c r="J254" s="33"/>
      <c r="K254" s="34"/>
      <c r="L254" s="34"/>
      <c r="M254" s="84"/>
      <c r="N254" s="84"/>
      <c r="O254" s="100"/>
      <c r="Q254" s="35"/>
      <c r="R254" s="44"/>
      <c r="S254" s="36"/>
      <c r="T254" s="44"/>
      <c r="U254" s="225"/>
      <c r="V254" s="44"/>
      <c r="W254" s="44"/>
      <c r="X254" s="44"/>
      <c r="Y254" s="44"/>
      <c r="Z254" s="44"/>
      <c r="AA254" s="44"/>
      <c r="AB254" s="44"/>
      <c r="AC254" s="44"/>
      <c r="AD254" s="44"/>
      <c r="AE254" s="36"/>
      <c r="AF254" s="36"/>
      <c r="AG254" s="36"/>
      <c r="AH254" s="36"/>
      <c r="AI254" s="36"/>
      <c r="AJ254" s="36"/>
      <c r="AK254" s="36"/>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9" s="31" customFormat="1" ht="15.5" x14ac:dyDescent="0.3">
      <c r="B255" s="155" t="s">
        <v>489</v>
      </c>
      <c r="C255" s="34"/>
      <c r="D255" s="84"/>
      <c r="G255" s="34"/>
      <c r="H255" s="84"/>
      <c r="J255" s="33"/>
      <c r="K255" s="38" t="s">
        <v>329</v>
      </c>
      <c r="L255" s="38" t="s">
        <v>201</v>
      </c>
      <c r="M255" s="84"/>
      <c r="N255" s="84"/>
      <c r="O255" s="100"/>
      <c r="Q255" s="35"/>
      <c r="R255" s="44" t="s">
        <v>350</v>
      </c>
      <c r="S255" s="36"/>
      <c r="T255" s="44" t="s">
        <v>275</v>
      </c>
      <c r="U255" s="225"/>
      <c r="V255" s="44"/>
      <c r="W255" s="44"/>
      <c r="X255" s="44"/>
      <c r="Y255" s="44"/>
      <c r="Z255" s="44"/>
      <c r="AA255" s="44"/>
      <c r="AB255" s="44"/>
      <c r="AC255" s="44"/>
      <c r="AD255" s="44"/>
      <c r="AE255" s="36"/>
      <c r="AF255" s="36"/>
      <c r="AG255" s="36"/>
      <c r="AH255" s="36"/>
      <c r="AI255" s="36"/>
      <c r="AJ255" s="36"/>
      <c r="AK255" s="36"/>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9" s="31" customFormat="1" ht="15.5" x14ac:dyDescent="0.3">
      <c r="B256" s="54" t="s">
        <v>510</v>
      </c>
      <c r="C256" s="392" t="s">
        <v>128</v>
      </c>
      <c r="D256" s="393"/>
      <c r="E256" s="393"/>
      <c r="F256" s="393"/>
      <c r="G256" s="394"/>
      <c r="H256" s="84"/>
      <c r="J256" s="33" t="s">
        <v>470</v>
      </c>
      <c r="K256" s="96">
        <f>IF(ISNUMBER(L256),L256,IF(OR(C256=Pudotusvalikot!$D$67,C256=Pudotusvalikot!$D$68),"--",VLOOKUP(C256,Kalusto!$C$5:$E$42,3,FALSE)*IF(OR(C257=Pudotusvalikot!$V$3,C257=Pudotusvalikot!$V$4),Muut!$E$38,IF(C257=Pudotusvalikot!$V$5,Muut!$E$39,IF(C257=Pudotusvalikot!$V$6,Muut!$E$40,Muut!$E$41)))))</f>
        <v>34.130000000000003</v>
      </c>
      <c r="L256" s="40"/>
      <c r="M256" s="41" t="s">
        <v>205</v>
      </c>
      <c r="N256" s="41"/>
      <c r="O256" s="265"/>
      <c r="Q256" s="35"/>
      <c r="R256" s="218" t="str">
        <f>IF(ISNUMBER(K256*T256),K256*T256,"")</f>
        <v/>
      </c>
      <c r="S256" s="102" t="s">
        <v>172</v>
      </c>
      <c r="T256" s="218" t="str">
        <f>IF(ISNUMBER(C258),C258,"")</f>
        <v/>
      </c>
      <c r="U256" s="225"/>
      <c r="V256" s="221"/>
      <c r="W256" s="44"/>
      <c r="X256" s="44"/>
      <c r="Y256" s="44"/>
      <c r="Z256" s="44"/>
      <c r="AA256" s="44"/>
      <c r="AB256" s="44"/>
      <c r="AC256" s="44"/>
      <c r="AD256" s="44"/>
      <c r="AE256" s="36"/>
      <c r="AF256" s="36"/>
      <c r="AG256" s="36"/>
      <c r="AH256" s="36"/>
      <c r="AI256" s="36"/>
      <c r="AJ256" s="36"/>
      <c r="AK256" s="36"/>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15.5" x14ac:dyDescent="0.3">
      <c r="B257" s="170" t="s">
        <v>509</v>
      </c>
      <c r="C257" s="160" t="s">
        <v>242</v>
      </c>
      <c r="D257" s="34"/>
      <c r="E257" s="34"/>
      <c r="F257" s="34"/>
      <c r="G257" s="34"/>
      <c r="H257" s="59"/>
      <c r="J257" s="173"/>
      <c r="K257" s="173"/>
      <c r="L257" s="173"/>
      <c r="M257" s="41"/>
      <c r="N257" s="41"/>
      <c r="O257" s="265"/>
      <c r="Q257" s="47"/>
      <c r="R257" s="221"/>
      <c r="S257" s="102"/>
      <c r="T257" s="44"/>
      <c r="U257" s="44"/>
      <c r="V257" s="220"/>
      <c r="W257" s="220"/>
      <c r="X257" s="221"/>
      <c r="Y257" s="44"/>
      <c r="Z257" s="221"/>
      <c r="AA257" s="222"/>
      <c r="AB257" s="221"/>
      <c r="AC257" s="221"/>
      <c r="AD257" s="221"/>
      <c r="AE257" s="61"/>
      <c r="AF257" s="182"/>
      <c r="AG257" s="61"/>
      <c r="AH257" s="36"/>
      <c r="AI257" s="36"/>
      <c r="AJ257" s="36"/>
      <c r="AK257" s="108"/>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15.5" x14ac:dyDescent="0.3">
      <c r="B258" s="54" t="s">
        <v>473</v>
      </c>
      <c r="C258" s="193"/>
      <c r="D258" s="84" t="s">
        <v>51</v>
      </c>
      <c r="G258" s="34"/>
      <c r="H258" s="84"/>
      <c r="J258" s="33"/>
      <c r="K258" s="34"/>
      <c r="L258" s="34"/>
      <c r="M258" s="84"/>
      <c r="N258" s="84"/>
      <c r="O258" s="100"/>
      <c r="Q258" s="35"/>
      <c r="R258" s="106"/>
      <c r="S258" s="36"/>
      <c r="T258" s="44"/>
      <c r="U258" s="44"/>
      <c r="V258" s="44"/>
      <c r="W258" s="44"/>
      <c r="X258" s="44"/>
      <c r="Y258" s="44"/>
      <c r="Z258" s="44"/>
      <c r="AA258" s="44"/>
      <c r="AB258" s="44"/>
      <c r="AC258" s="44"/>
      <c r="AD258" s="44"/>
      <c r="AE258" s="36"/>
      <c r="AF258" s="36"/>
      <c r="AG258" s="36"/>
      <c r="AH258" s="36"/>
      <c r="AI258" s="36"/>
      <c r="AJ258" s="36"/>
      <c r="AK258" s="36"/>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5" x14ac:dyDescent="0.3">
      <c r="C259" s="34"/>
      <c r="D259" s="84"/>
      <c r="G259" s="34"/>
      <c r="H259" s="84"/>
      <c r="K259" s="34"/>
      <c r="L259" s="34"/>
      <c r="M259" s="84"/>
      <c r="N259" s="84"/>
      <c r="O259" s="84"/>
      <c r="Q259" s="35"/>
      <c r="R259" s="106"/>
      <c r="S259" s="36"/>
      <c r="T259" s="44"/>
      <c r="U259" s="44"/>
      <c r="V259" s="44"/>
      <c r="W259" s="44"/>
      <c r="X259" s="44"/>
      <c r="Y259" s="44"/>
      <c r="Z259" s="44"/>
      <c r="AA259" s="44"/>
      <c r="AB259" s="44"/>
      <c r="AC259" s="44"/>
      <c r="AD259" s="44"/>
      <c r="AE259" s="36"/>
      <c r="AF259" s="36"/>
      <c r="AG259" s="36"/>
      <c r="AH259" s="36"/>
      <c r="AI259" s="36"/>
      <c r="AJ259" s="36"/>
      <c r="AK259" s="36"/>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298" customFormat="1" ht="18" x14ac:dyDescent="0.3">
      <c r="B260" s="295" t="s">
        <v>745</v>
      </c>
      <c r="C260" s="296"/>
      <c r="D260" s="297"/>
      <c r="G260" s="296"/>
      <c r="H260" s="297"/>
      <c r="K260" s="296"/>
      <c r="L260" s="296"/>
      <c r="M260" s="297"/>
      <c r="N260" s="297"/>
      <c r="O260" s="300"/>
      <c r="P260" s="320"/>
      <c r="Q260" s="304"/>
      <c r="R260" s="298" t="str">
        <f>IF(OR(ISNUMBER(#REF!),ISNUMBER(#REF!),ISNUMBER(#REF!),ISNUMBER(#REF!),ISNUMBER(#REF!)),SUM(#REF!,#REF!,#REF!,#REF!,#REF!),"")</f>
        <v/>
      </c>
      <c r="S260" s="303"/>
      <c r="T260" s="303"/>
      <c r="U260" s="303"/>
      <c r="V260" s="303"/>
      <c r="W260" s="303"/>
      <c r="X260" s="303"/>
      <c r="Y260" s="303"/>
      <c r="Z260" s="303"/>
      <c r="AA260" s="303"/>
      <c r="AB260" s="303"/>
      <c r="AC260" s="303"/>
      <c r="AD260" s="303"/>
      <c r="AE260" s="303"/>
      <c r="AF260" s="303"/>
      <c r="AG260" s="303"/>
      <c r="AH260" s="303"/>
      <c r="AI260" s="303"/>
      <c r="AJ260" s="303"/>
      <c r="AK260" s="303"/>
      <c r="AL260" s="303"/>
      <c r="AM260" s="303"/>
      <c r="AN260" s="304"/>
      <c r="AO260" s="304"/>
      <c r="AP260" s="304"/>
      <c r="AQ260" s="304"/>
      <c r="AR260" s="304"/>
      <c r="AS260" s="304"/>
      <c r="AT260" s="304"/>
      <c r="AU260" s="304"/>
      <c r="AV260" s="304"/>
      <c r="AW260" s="304"/>
      <c r="AX260" s="304"/>
      <c r="AY260" s="304"/>
      <c r="AZ260" s="304"/>
      <c r="BA260" s="304"/>
      <c r="BB260" s="304"/>
      <c r="BC260" s="304"/>
      <c r="BD260" s="304"/>
      <c r="BE260" s="304"/>
    </row>
    <row r="261" spans="2:57" s="31" customFormat="1" ht="15.5" x14ac:dyDescent="0.3">
      <c r="B261" s="9"/>
      <c r="C261" s="34"/>
      <c r="D261" s="84"/>
      <c r="E261" s="34"/>
      <c r="F261" s="34"/>
      <c r="G261" s="38"/>
      <c r="H261" s="84"/>
      <c r="J261" s="33"/>
      <c r="K261" s="38"/>
      <c r="L261" s="38"/>
      <c r="M261" s="86"/>
      <c r="N261" s="86"/>
      <c r="O261" s="86"/>
      <c r="P261" s="38"/>
      <c r="Q261" s="35"/>
      <c r="R261" s="106"/>
      <c r="S261" s="36"/>
      <c r="T261" s="44"/>
      <c r="U261" s="44"/>
      <c r="V261" s="44"/>
      <c r="W261" s="44"/>
      <c r="X261" s="44"/>
      <c r="Y261" s="44"/>
      <c r="Z261" s="44"/>
      <c r="AA261" s="44"/>
      <c r="AB261" s="44"/>
      <c r="AC261" s="44"/>
      <c r="AD261" s="44"/>
      <c r="AE261" s="44"/>
      <c r="AF261" s="44"/>
      <c r="AG261" s="44"/>
      <c r="AH261" s="44"/>
      <c r="AI261" s="36"/>
      <c r="AJ261" s="36"/>
      <c r="AK261" s="36"/>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15.5" x14ac:dyDescent="0.3">
      <c r="B262" s="155" t="s">
        <v>0</v>
      </c>
      <c r="C262" s="34" t="s">
        <v>50</v>
      </c>
      <c r="D262" s="84"/>
      <c r="E262" s="34"/>
      <c r="F262" s="34"/>
      <c r="G262" s="38" t="s">
        <v>199</v>
      </c>
      <c r="H262" s="84"/>
      <c r="J262" s="33"/>
      <c r="K262" s="38" t="s">
        <v>329</v>
      </c>
      <c r="L262" s="38" t="s">
        <v>201</v>
      </c>
      <c r="M262" s="86"/>
      <c r="N262" s="86"/>
      <c r="O262" s="255" t="s">
        <v>644</v>
      </c>
      <c r="P262" s="38"/>
      <c r="Q262" s="35"/>
      <c r="R262" s="44" t="s">
        <v>350</v>
      </c>
      <c r="S262" s="36"/>
      <c r="T262" s="44" t="s">
        <v>446</v>
      </c>
      <c r="U262" s="44" t="s">
        <v>445</v>
      </c>
      <c r="V262" s="44" t="s">
        <v>443</v>
      </c>
      <c r="W262" s="44" t="s">
        <v>444</v>
      </c>
      <c r="X262" s="44" t="s">
        <v>447</v>
      </c>
      <c r="Y262" s="44" t="s">
        <v>449</v>
      </c>
      <c r="Z262" s="44" t="s">
        <v>448</v>
      </c>
      <c r="AA262" s="44" t="s">
        <v>202</v>
      </c>
      <c r="AB262" s="44" t="s">
        <v>380</v>
      </c>
      <c r="AC262" s="44" t="s">
        <v>450</v>
      </c>
      <c r="AD262" s="44" t="s">
        <v>381</v>
      </c>
      <c r="AE262" s="44" t="s">
        <v>451</v>
      </c>
      <c r="AF262" s="44" t="s">
        <v>452</v>
      </c>
      <c r="AG262" s="44" t="s">
        <v>638</v>
      </c>
      <c r="AH262" s="36" t="s">
        <v>206</v>
      </c>
      <c r="AI262" s="36" t="s">
        <v>278</v>
      </c>
      <c r="AJ262" s="36" t="s">
        <v>207</v>
      </c>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46.5" x14ac:dyDescent="0.3">
      <c r="B263" s="170" t="s">
        <v>553</v>
      </c>
      <c r="C263" s="160"/>
      <c r="D263" s="89" t="s">
        <v>52</v>
      </c>
      <c r="E263" s="59"/>
      <c r="F263" s="57"/>
      <c r="G263" s="161"/>
      <c r="H263" s="84" t="str">
        <f>IF(D263="t","","t/m3")</f>
        <v/>
      </c>
      <c r="J263" s="173" t="s">
        <v>441</v>
      </c>
      <c r="K263" s="96">
        <f>IF(ISNUMBER(L263),L263,IF(OR(C264=Pudotusvalikot!$D$14,C264=Pudotusvalikot!$D$15),Kalusto!$G$96,VLOOKUP(C264,Kalusto!$C$44:$G$83,5,FALSE))*IF(OR(C265=Pudotusvalikot!$V$3,C265=Pudotusvalikot!$V$4),Muut!$E$38,IF(C265=Pudotusvalikot!$V$5,Muut!$E$39,IF(C265=Pudotusvalikot!$V$6,Muut!$E$40,Muut!$E$41))))</f>
        <v>5.1630000000000002E-2</v>
      </c>
      <c r="L263" s="40"/>
      <c r="M263" s="41" t="s">
        <v>200</v>
      </c>
      <c r="N263" s="41"/>
      <c r="O263" s="256"/>
      <c r="Q263" s="47"/>
      <c r="R263" s="218" t="str">
        <f ca="1">IF(AND(NOT(ISNUMBER(AB263)),NOT(ISNUMBER(AG263))),"",IF(ISNUMBER(AB263),AB263,0)+IF(ISNUMBER(AG263),AG263,0))</f>
        <v/>
      </c>
      <c r="S263" s="102" t="s">
        <v>172</v>
      </c>
      <c r="T263" s="216" t="str">
        <f>IF(ISNUMBER(L263),"Kohdetieto",IF(OR(C264=Pudotusvalikot!$D$14,C264=Pudotusvalikot!$D$15),Kalusto!$I$96,VLOOKUP(C264,Kalusto!$C$44:$L$83,7,FALSE)))</f>
        <v>Maansiirtoauto</v>
      </c>
      <c r="U263" s="216">
        <f>IF(ISNUMBER(L263),"Kohdetieto",IF(OR(C264=Pudotusvalikot!$D$14,C264=Pudotusvalikot!$D$15),Kalusto!$J$96,VLOOKUP(C264,Kalusto!$C$44:$L$83,8,FALSE)))</f>
        <v>32</v>
      </c>
      <c r="V263" s="217">
        <f>IF(ISNUMBER(L263),"Kohdetieto",IF(OR(C264=Pudotusvalikot!$D$14,C264=Pudotusvalikot!$D$15),Kalusto!$K$96,VLOOKUP(C264,Kalusto!$C$44:$L$83,9,FALSE)))</f>
        <v>1</v>
      </c>
      <c r="W263" s="217" t="str">
        <f>IF(ISNUMBER(L263),"Kohdetieto",IF(OR(C264=Pudotusvalikot!$D$14,C264=Pudotusvalikot!$D$15),Kalusto!$L$96,VLOOKUP(C264,Kalusto!$C$44:$L$83,10,FALSE)))</f>
        <v>maantieajo</v>
      </c>
      <c r="X263" s="218" t="str">
        <f>IF(ISBLANK(C263),"",IF(D263="t",C263,C263*G263))</f>
        <v/>
      </c>
      <c r="Y263" s="216" t="str">
        <f>IF(ISNUMBER(C266),C266,"")</f>
        <v/>
      </c>
      <c r="Z263" s="218" t="str">
        <f>IF(ISNUMBER(X263/(U263*V263)*Y263),X263/(U263*V263)*Y263,"")</f>
        <v/>
      </c>
      <c r="AA263" s="219">
        <f>IF(ISNUMBER(L263),L263,K263)</f>
        <v>5.1630000000000002E-2</v>
      </c>
      <c r="AB263" s="218" t="str">
        <f>IF(ISNUMBER(Y263*X263*K263),Y263*X263*K263,"")</f>
        <v/>
      </c>
      <c r="AC263" s="218" t="str">
        <f>IF(ISNUMBER(Y263),Y263,"")</f>
        <v/>
      </c>
      <c r="AD263" s="218" t="str">
        <f>IF(ISNUMBER(X263),IF(ISNUMBER(X263/(U263*V263)),CEILING(X263/(U263*V263),1),""),"")</f>
        <v/>
      </c>
      <c r="AE263" s="50" t="str">
        <f>IF(ISNUMBER(AD263*AC263),AD263*AC263,"")</f>
        <v/>
      </c>
      <c r="AF263" s="51">
        <f ca="1">IF(ISNUMBER(L264),L264,K264)</f>
        <v>0.71940999999999999</v>
      </c>
      <c r="AG263" s="50" t="str">
        <f ca="1">IF(ISNUMBER(AC263*AD263*K264),AC263*AD263*K264,"")</f>
        <v/>
      </c>
      <c r="AH263" s="48">
        <f>IF(T263="Jakelukuorma-auto",0,IF(T263="Maansiirtoauto",4,IF(T263="Puoliperävaunu",6,8)))</f>
        <v>4</v>
      </c>
      <c r="AI263" s="48">
        <f>IF(AND(T263="Jakelukuorma-auto",U263=6),0,IF(AND(T263="Jakelukuorma-auto",U263=15),2,0))</f>
        <v>0</v>
      </c>
      <c r="AJ263" s="48">
        <f>IF(W263="maantieajo",0,1)</f>
        <v>0</v>
      </c>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31" x14ac:dyDescent="0.3">
      <c r="B264" s="170" t="s">
        <v>550</v>
      </c>
      <c r="C264" s="392" t="s">
        <v>86</v>
      </c>
      <c r="D264" s="393"/>
      <c r="E264" s="393"/>
      <c r="F264" s="393"/>
      <c r="G264" s="394"/>
      <c r="J264" s="33" t="s">
        <v>442</v>
      </c>
      <c r="K264" s="96">
        <f ca="1">IF(ISNUMBER(L264),L264,IF($C$100="Ei","",IF(AND($C$100="Kyllä",OR(C264=Pudotusvalikot!$D$14,C264=Pudotusvalikot!$D$15)),Kalusto!$G$97,OFFSET(Kalusto!$G$85,AH263+AJ263+AI263,0,1,1)))*IF(OR(C265=Pudotusvalikot!$V$3,C265=Pudotusvalikot!$V$4),Muut!$E$38,IF(C265=Pudotusvalikot!$V$5,Muut!$E$39,IF(C265=Pudotusvalikot!$V$6,Muut!$E$40,Muut!$E$41))))</f>
        <v>0.71940999999999999</v>
      </c>
      <c r="L264" s="40"/>
      <c r="M264" s="41" t="s">
        <v>204</v>
      </c>
      <c r="N264" s="41"/>
      <c r="O264" s="265"/>
      <c r="P264" s="34"/>
      <c r="Q264" s="52"/>
      <c r="R264" s="44"/>
      <c r="S264" s="36"/>
      <c r="T264" s="44"/>
      <c r="U264" s="44"/>
      <c r="V264" s="44"/>
      <c r="W264" s="44"/>
      <c r="X264" s="44"/>
      <c r="Y264" s="44"/>
      <c r="Z264" s="44"/>
      <c r="AA264" s="44"/>
      <c r="AB264" s="44"/>
      <c r="AC264" s="44"/>
      <c r="AD264" s="44"/>
      <c r="AE264" s="36"/>
      <c r="AF264" s="36"/>
      <c r="AG264" s="36"/>
      <c r="AH264" s="36"/>
      <c r="AI264" s="36"/>
      <c r="AJ264" s="36"/>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15.5" x14ac:dyDescent="0.3">
      <c r="B265" s="186" t="s">
        <v>506</v>
      </c>
      <c r="C265" s="160" t="s">
        <v>242</v>
      </c>
      <c r="D265" s="34"/>
      <c r="E265" s="34"/>
      <c r="F265" s="34"/>
      <c r="G265" s="34"/>
      <c r="H265" s="59"/>
      <c r="J265" s="173"/>
      <c r="K265" s="173"/>
      <c r="L265" s="173"/>
      <c r="M265" s="41"/>
      <c r="N265" s="41"/>
      <c r="O265" s="265"/>
      <c r="Q265" s="47"/>
      <c r="R265" s="232"/>
      <c r="S265" s="102"/>
      <c r="T265" s="44"/>
      <c r="U265" s="44"/>
      <c r="V265" s="220"/>
      <c r="W265" s="220"/>
      <c r="X265" s="221"/>
      <c r="Y265" s="44"/>
      <c r="Z265" s="221"/>
      <c r="AA265" s="222"/>
      <c r="AB265" s="221"/>
      <c r="AC265" s="221"/>
      <c r="AD265" s="221"/>
      <c r="AE265" s="61"/>
      <c r="AF265" s="182"/>
      <c r="AG265" s="61"/>
      <c r="AH265" s="36"/>
      <c r="AI265" s="36"/>
      <c r="AJ265" s="36"/>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5" x14ac:dyDescent="0.3">
      <c r="B266" s="45" t="s">
        <v>549</v>
      </c>
      <c r="C266" s="160"/>
      <c r="D266" s="84" t="s">
        <v>5</v>
      </c>
      <c r="G266" s="34"/>
      <c r="H266" s="54"/>
      <c r="I266" s="53"/>
      <c r="J266" s="53"/>
      <c r="K266" s="34"/>
      <c r="L266" s="34"/>
      <c r="M266" s="84"/>
      <c r="N266" s="84"/>
      <c r="O266" s="100"/>
      <c r="P266" s="53"/>
      <c r="Q266" s="52"/>
      <c r="R266" s="44"/>
      <c r="S266" s="36"/>
      <c r="T266" s="44"/>
      <c r="U266" s="44"/>
      <c r="V266" s="44"/>
      <c r="W266" s="44"/>
      <c r="X266" s="44"/>
      <c r="Y266" s="44"/>
      <c r="Z266" s="44"/>
      <c r="AA266" s="44"/>
      <c r="AB266" s="44"/>
      <c r="AC266" s="44"/>
      <c r="AD266" s="44"/>
      <c r="AE266" s="36"/>
      <c r="AF266" s="36"/>
      <c r="AG266" s="36"/>
      <c r="AH266" s="36"/>
      <c r="AI266" s="36"/>
      <c r="AJ266" s="36"/>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15.5" x14ac:dyDescent="0.3">
      <c r="B267" s="155" t="s">
        <v>1</v>
      </c>
      <c r="C267" s="34"/>
      <c r="D267" s="84"/>
      <c r="E267" s="34"/>
      <c r="F267" s="34"/>
      <c r="G267" s="38"/>
      <c r="H267" s="84"/>
      <c r="J267" s="33"/>
      <c r="K267" s="38" t="s">
        <v>329</v>
      </c>
      <c r="L267" s="38" t="s">
        <v>201</v>
      </c>
      <c r="M267" s="84"/>
      <c r="N267" s="84"/>
      <c r="O267" s="100"/>
      <c r="P267" s="34"/>
      <c r="Q267" s="35"/>
      <c r="R267" s="44" t="s">
        <v>350</v>
      </c>
      <c r="S267" s="36"/>
      <c r="T267" s="44" t="s">
        <v>446</v>
      </c>
      <c r="U267" s="44" t="s">
        <v>445</v>
      </c>
      <c r="V267" s="44" t="s">
        <v>443</v>
      </c>
      <c r="W267" s="44" t="s">
        <v>444</v>
      </c>
      <c r="X267" s="44" t="s">
        <v>447</v>
      </c>
      <c r="Y267" s="44" t="s">
        <v>449</v>
      </c>
      <c r="Z267" s="44" t="s">
        <v>448</v>
      </c>
      <c r="AA267" s="44" t="s">
        <v>202</v>
      </c>
      <c r="AB267" s="44" t="s">
        <v>380</v>
      </c>
      <c r="AC267" s="44" t="s">
        <v>450</v>
      </c>
      <c r="AD267" s="44" t="s">
        <v>381</v>
      </c>
      <c r="AE267" s="44" t="s">
        <v>451</v>
      </c>
      <c r="AF267" s="44" t="s">
        <v>452</v>
      </c>
      <c r="AG267" s="44" t="s">
        <v>638</v>
      </c>
      <c r="AH267" s="36" t="s">
        <v>206</v>
      </c>
      <c r="AI267" s="36" t="s">
        <v>278</v>
      </c>
      <c r="AJ267" s="36" t="s">
        <v>207</v>
      </c>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46.5" x14ac:dyDescent="0.3">
      <c r="B268" s="170" t="s">
        <v>553</v>
      </c>
      <c r="C268" s="160"/>
      <c r="D268" s="89" t="s">
        <v>52</v>
      </c>
      <c r="E268" s="59"/>
      <c r="F268" s="57"/>
      <c r="G268" s="161"/>
      <c r="H268" s="84" t="str">
        <f>IF(D268="t","","t/m3")</f>
        <v/>
      </c>
      <c r="J268" s="173" t="s">
        <v>441</v>
      </c>
      <c r="K268" s="96">
        <f>IF(ISNUMBER(L268),L268,IF(OR(C269=Pudotusvalikot!$D$14,C269=Pudotusvalikot!$D$15),Kalusto!$G$96,VLOOKUP(C269,Kalusto!$C$44:$G$83,5,FALSE))*IF(OR(C270=Pudotusvalikot!$V$3,C270=Pudotusvalikot!$V$4),Muut!$E$38,IF(C270=Pudotusvalikot!$V$5,Muut!$E$39,IF(C270=Pudotusvalikot!$V$6,Muut!$E$40,Muut!$E$41))))</f>
        <v>5.7709999999999997E-2</v>
      </c>
      <c r="L268" s="40"/>
      <c r="M268" s="41" t="s">
        <v>200</v>
      </c>
      <c r="N268" s="41"/>
      <c r="O268" s="265"/>
      <c r="Q268" s="47"/>
      <c r="R268" s="218" t="str">
        <f ca="1">IF(AND(NOT(ISNUMBER(AB268)),NOT(ISNUMBER(AG268))),"",IF(ISNUMBER(AB268),AB268,0)+IF(ISNUMBER(AG268),AG268,0))</f>
        <v/>
      </c>
      <c r="S268" s="102" t="s">
        <v>172</v>
      </c>
      <c r="T268" s="216" t="str">
        <f>IF(ISNUMBER(L268),"Kohdetieto",IF(OR(C269=Pudotusvalikot!$D$14,C269=Pudotusvalikot!$D$15),Kalusto!$I$96,VLOOKUP(C269,Kalusto!$C$44:$L$83,7,FALSE)))</f>
        <v>Maansiirtoauto</v>
      </c>
      <c r="U268" s="216">
        <f>IF(ISNUMBER(L268),"Kohdetieto",IF(OR(C269=Pudotusvalikot!$D$14,C269=Pudotusvalikot!$D$15),Kalusto!$J$96,VLOOKUP(C269,Kalusto!$C$44:$L$83,8,FALSE)))</f>
        <v>32</v>
      </c>
      <c r="V268" s="217">
        <f>IF(ISNUMBER(L268),"Kohdetieto",IF(OR(C269=Pudotusvalikot!$D$14,C269=Pudotusvalikot!$D$15),Kalusto!$K$96,VLOOKUP(C269,Kalusto!$C$44:$L$83,9,FALSE)))</f>
        <v>0.8</v>
      </c>
      <c r="W268" s="217" t="str">
        <f>IF(ISNUMBER(L268),"Kohdetieto",IF(OR(C269=Pudotusvalikot!$D$14,C269=Pudotusvalikot!$D$15),Kalusto!$L$96,VLOOKUP(C269,Kalusto!$C$44:$L$83,10,FALSE)))</f>
        <v>maantieajo</v>
      </c>
      <c r="X268" s="218" t="str">
        <f>IF(ISBLANK(C268),"",IF(D268="t",C268,C268*G268))</f>
        <v/>
      </c>
      <c r="Y268" s="216" t="str">
        <f>IF(ISNUMBER(C271),C271,"")</f>
        <v/>
      </c>
      <c r="Z268" s="218" t="str">
        <f>IF(ISNUMBER(X268/(U268*V268)*Y268),X268/(U268*V268)*Y268,"")</f>
        <v/>
      </c>
      <c r="AA268" s="219">
        <f>IF(ISNUMBER(L268),L268,K268)</f>
        <v>5.7709999999999997E-2</v>
      </c>
      <c r="AB268" s="218" t="str">
        <f>IF(ISNUMBER(Y268*X268*K268),Y268*X268*K268,"")</f>
        <v/>
      </c>
      <c r="AC268" s="218" t="str">
        <f>IF(ISNUMBER(Y268),Y268,"")</f>
        <v/>
      </c>
      <c r="AD268" s="218" t="str">
        <f>IF(ISNUMBER(X268),IF(ISNUMBER(X268/(U268*V268)),CEILING(X268/(U268*V268),1),""),"")</f>
        <v/>
      </c>
      <c r="AE268" s="50" t="str">
        <f>IF(ISNUMBER(AD268*AC268),AD268*AC268,"")</f>
        <v/>
      </c>
      <c r="AF268" s="51">
        <f ca="1">IF(ISNUMBER(L269),L269,K269)</f>
        <v>0.71940999999999999</v>
      </c>
      <c r="AG268" s="50" t="str">
        <f ca="1">IF(ISNUMBER(AC268*AD268*K269),AC268*AD268*K269,"")</f>
        <v/>
      </c>
      <c r="AH268" s="48">
        <f>IF(T268="Jakelukuorma-auto",0,IF(T268="Maansiirtoauto",4,IF(T268="Puoliperävaunu",6,8)))</f>
        <v>4</v>
      </c>
      <c r="AI268" s="48">
        <f>IF(AND(T268="Jakelukuorma-auto",U268=6),0,IF(AND(T268="Jakelukuorma-auto",U268=15),2,0))</f>
        <v>0</v>
      </c>
      <c r="AJ268" s="48">
        <f>IF(W268="maantieajo",0,1)</f>
        <v>0</v>
      </c>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31" x14ac:dyDescent="0.3">
      <c r="B269" s="170" t="s">
        <v>550</v>
      </c>
      <c r="C269" s="392" t="s">
        <v>330</v>
      </c>
      <c r="D269" s="393"/>
      <c r="E269" s="393"/>
      <c r="F269" s="393"/>
      <c r="G269" s="394"/>
      <c r="H269" s="31" t="s">
        <v>203</v>
      </c>
      <c r="J269" s="33" t="s">
        <v>442</v>
      </c>
      <c r="K269" s="96">
        <f ca="1">IF(ISNUMBER(L269),L269,IF($C$100="Ei","",IF(AND($C$100="Kyllä",OR(C269=Pudotusvalikot!$D$14,C269=Pudotusvalikot!$D$15)),Kalusto!$G$97,OFFSET(Kalusto!$G$85,AH268+AJ268+AI268,0,1,1)))*IF(OR(C270=Pudotusvalikot!$V$3,C270=Pudotusvalikot!$V$4),Muut!$E$38,IF(C270=Pudotusvalikot!$V$5,Muut!$E$39,IF(C270=Pudotusvalikot!$V$6,Muut!$E$40,Muut!$E$41))))</f>
        <v>0.71940999999999999</v>
      </c>
      <c r="L269" s="40"/>
      <c r="M269" s="41" t="s">
        <v>204</v>
      </c>
      <c r="N269" s="41"/>
      <c r="O269" s="265"/>
      <c r="P269" s="34"/>
      <c r="Q269" s="52"/>
      <c r="R269" s="44"/>
      <c r="S269" s="36"/>
      <c r="T269" s="44"/>
      <c r="U269" s="44"/>
      <c r="V269" s="44"/>
      <c r="W269" s="44"/>
      <c r="X269" s="44"/>
      <c r="Y269" s="44"/>
      <c r="Z269" s="44"/>
      <c r="AA269" s="44"/>
      <c r="AB269" s="44"/>
      <c r="AC269" s="44"/>
      <c r="AD269" s="44"/>
      <c r="AE269" s="36"/>
      <c r="AF269" s="36"/>
      <c r="AG269" s="36"/>
      <c r="AH269" s="36"/>
      <c r="AI269" s="36"/>
      <c r="AJ269" s="36"/>
      <c r="AK269" s="108"/>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15.5" x14ac:dyDescent="0.3">
      <c r="B270" s="186" t="s">
        <v>506</v>
      </c>
      <c r="C270" s="160" t="s">
        <v>242</v>
      </c>
      <c r="D270" s="34"/>
      <c r="E270" s="34"/>
      <c r="F270" s="34"/>
      <c r="G270" s="34"/>
      <c r="H270" s="59"/>
      <c r="J270" s="173"/>
      <c r="K270" s="173"/>
      <c r="L270" s="173"/>
      <c r="M270" s="41"/>
      <c r="N270" s="41"/>
      <c r="O270" s="265"/>
      <c r="Q270" s="47"/>
      <c r="R270" s="232"/>
      <c r="S270" s="102"/>
      <c r="T270" s="44"/>
      <c r="U270" s="44"/>
      <c r="V270" s="220"/>
      <c r="W270" s="220"/>
      <c r="X270" s="221"/>
      <c r="Y270" s="44"/>
      <c r="Z270" s="221"/>
      <c r="AA270" s="222"/>
      <c r="AB270" s="221"/>
      <c r="AC270" s="221"/>
      <c r="AD270" s="221"/>
      <c r="AE270" s="61"/>
      <c r="AF270" s="182"/>
      <c r="AG270" s="61"/>
      <c r="AH270" s="36"/>
      <c r="AI270" s="36"/>
      <c r="AJ270" s="36"/>
      <c r="AK270" s="108"/>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15.5" x14ac:dyDescent="0.3">
      <c r="B271" s="45" t="s">
        <v>549</v>
      </c>
      <c r="C271" s="160"/>
      <c r="D271" s="84" t="s">
        <v>5</v>
      </c>
      <c r="G271" s="34"/>
      <c r="H271" s="54"/>
      <c r="I271" s="53"/>
      <c r="J271" s="53"/>
      <c r="K271" s="34"/>
      <c r="L271" s="34"/>
      <c r="M271" s="84"/>
      <c r="N271" s="84"/>
      <c r="O271" s="100"/>
      <c r="P271" s="53"/>
      <c r="Q271" s="52"/>
      <c r="R271" s="44"/>
      <c r="S271" s="36"/>
      <c r="T271" s="44"/>
      <c r="U271" s="44"/>
      <c r="V271" s="44"/>
      <c r="W271" s="44"/>
      <c r="X271" s="44"/>
      <c r="Y271" s="44"/>
      <c r="Z271" s="44"/>
      <c r="AA271" s="44"/>
      <c r="AB271" s="44"/>
      <c r="AC271" s="44"/>
      <c r="AD271" s="44"/>
      <c r="AE271" s="36"/>
      <c r="AF271" s="36"/>
      <c r="AG271" s="36"/>
      <c r="AH271" s="36"/>
      <c r="AI271" s="36"/>
      <c r="AJ271" s="36"/>
      <c r="AK271" s="108"/>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5" x14ac:dyDescent="0.3">
      <c r="B272" s="155" t="s">
        <v>2</v>
      </c>
      <c r="C272" s="34"/>
      <c r="D272" s="84"/>
      <c r="E272" s="34"/>
      <c r="F272" s="34"/>
      <c r="G272" s="38"/>
      <c r="H272" s="84"/>
      <c r="J272" s="33"/>
      <c r="K272" s="38" t="s">
        <v>329</v>
      </c>
      <c r="L272" s="38" t="s">
        <v>201</v>
      </c>
      <c r="M272" s="84"/>
      <c r="N272" s="84"/>
      <c r="O272" s="100"/>
      <c r="P272" s="34"/>
      <c r="Q272" s="35"/>
      <c r="R272" s="44" t="s">
        <v>350</v>
      </c>
      <c r="S272" s="36"/>
      <c r="T272" s="44" t="s">
        <v>446</v>
      </c>
      <c r="U272" s="44" t="s">
        <v>445</v>
      </c>
      <c r="V272" s="44" t="s">
        <v>443</v>
      </c>
      <c r="W272" s="44" t="s">
        <v>444</v>
      </c>
      <c r="X272" s="44" t="s">
        <v>447</v>
      </c>
      <c r="Y272" s="44" t="s">
        <v>449</v>
      </c>
      <c r="Z272" s="44" t="s">
        <v>448</v>
      </c>
      <c r="AA272" s="44" t="s">
        <v>202</v>
      </c>
      <c r="AB272" s="44" t="s">
        <v>380</v>
      </c>
      <c r="AC272" s="44" t="s">
        <v>450</v>
      </c>
      <c r="AD272" s="44" t="s">
        <v>381</v>
      </c>
      <c r="AE272" s="44" t="s">
        <v>451</v>
      </c>
      <c r="AF272" s="44" t="s">
        <v>452</v>
      </c>
      <c r="AG272" s="44" t="s">
        <v>638</v>
      </c>
      <c r="AH272" s="36" t="s">
        <v>206</v>
      </c>
      <c r="AI272" s="36" t="s">
        <v>278</v>
      </c>
      <c r="AJ272" s="36" t="s">
        <v>207</v>
      </c>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46.5" x14ac:dyDescent="0.3">
      <c r="B273" s="170" t="s">
        <v>553</v>
      </c>
      <c r="C273" s="160"/>
      <c r="D273" s="89" t="s">
        <v>52</v>
      </c>
      <c r="E273" s="59"/>
      <c r="F273" s="57"/>
      <c r="G273" s="161"/>
      <c r="H273" s="84" t="str">
        <f>IF(D273="t","","t/m3")</f>
        <v/>
      </c>
      <c r="J273" s="173" t="s">
        <v>441</v>
      </c>
      <c r="K273" s="96">
        <f>IF(ISNUMBER(L273),L273,IF(OR(C274=Pudotusvalikot!$D$14,C274=Pudotusvalikot!$D$15),Kalusto!$G$96,VLOOKUP(C274,Kalusto!$C$44:$G$83,5,FALSE))*IF(OR(C275=Pudotusvalikot!$V$3,C275=Pudotusvalikot!$V$4),Muut!$E$38,IF(C275=Pudotusvalikot!$V$5,Muut!$E$39,IF(C275=Pudotusvalikot!$V$6,Muut!$E$40,Muut!$E$41))))</f>
        <v>5.7709999999999997E-2</v>
      </c>
      <c r="L273" s="40"/>
      <c r="M273" s="41" t="s">
        <v>200</v>
      </c>
      <c r="N273" s="41"/>
      <c r="O273" s="265"/>
      <c r="Q273" s="47"/>
      <c r="R273" s="218" t="str">
        <f ca="1">IF(AND(NOT(ISNUMBER(AB273)),NOT(ISNUMBER(AG273))),"",IF(ISNUMBER(AB273),AB273,0)+IF(ISNUMBER(AG273),AG273,0))</f>
        <v/>
      </c>
      <c r="S273" s="102" t="s">
        <v>172</v>
      </c>
      <c r="T273" s="216" t="str">
        <f>IF(ISNUMBER(L273),"Kohdetieto",IF(OR(C274=Pudotusvalikot!$D$14,C274=Pudotusvalikot!$D$15),Kalusto!$I$96,VLOOKUP(C274,Kalusto!$C$44:$L$83,7,FALSE)))</f>
        <v>Maansiirtoauto</v>
      </c>
      <c r="U273" s="216">
        <f>IF(ISNUMBER(L273),"Kohdetieto",IF(OR(C274=Pudotusvalikot!$D$14,C274=Pudotusvalikot!$D$15),Kalusto!$J$96,VLOOKUP(C274,Kalusto!$C$44:$L$83,8,FALSE)))</f>
        <v>32</v>
      </c>
      <c r="V273" s="217">
        <f>IF(ISNUMBER(L273),"Kohdetieto",IF(OR(C274=Pudotusvalikot!$D$14,C274=Pudotusvalikot!$D$15),Kalusto!$K$96,VLOOKUP(C274,Kalusto!$C$44:$L$83,9,FALSE)))</f>
        <v>0.8</v>
      </c>
      <c r="W273" s="217" t="str">
        <f>IF(ISNUMBER(L273),"Kohdetieto",IF(OR(C274=Pudotusvalikot!$D$14,C274=Pudotusvalikot!$D$15),Kalusto!$L$96,VLOOKUP(C274,Kalusto!$C$44:$L$83,10,FALSE)))</f>
        <v>maantieajo</v>
      </c>
      <c r="X273" s="218" t="str">
        <f>IF(ISBLANK(C273),"",IF(D273="t",C273,C273*G273))</f>
        <v/>
      </c>
      <c r="Y273" s="216" t="str">
        <f>IF(ISNUMBER(C276),C276,"")</f>
        <v/>
      </c>
      <c r="Z273" s="218" t="str">
        <f>IF(ISNUMBER(X273/(U273*V273)*Y273),X273/(U273*V273)*Y273,"")</f>
        <v/>
      </c>
      <c r="AA273" s="219">
        <f>IF(ISNUMBER(L273),L273,K273)</f>
        <v>5.7709999999999997E-2</v>
      </c>
      <c r="AB273" s="218" t="str">
        <f>IF(ISNUMBER(Y273*X273*K273),Y273*X273*K273,"")</f>
        <v/>
      </c>
      <c r="AC273" s="218" t="str">
        <f>IF(ISNUMBER(Y273),Y273,"")</f>
        <v/>
      </c>
      <c r="AD273" s="218" t="str">
        <f>IF(ISNUMBER(X273),IF(ISNUMBER(X273/(U273*V273)),CEILING(X273/(U273*V273),1),""),"")</f>
        <v/>
      </c>
      <c r="AE273" s="50" t="str">
        <f>IF(ISNUMBER(AD273*AC273),AD273*AC273,"")</f>
        <v/>
      </c>
      <c r="AF273" s="51">
        <f ca="1">IF(ISNUMBER(L274),L274,K274)</f>
        <v>0.71940999999999999</v>
      </c>
      <c r="AG273" s="50" t="str">
        <f ca="1">IF(ISNUMBER(AC273*AD273*K274),AC273*AD273*K274,"")</f>
        <v/>
      </c>
      <c r="AH273" s="48">
        <f>IF(T273="Jakelukuorma-auto",0,IF(T273="Maansiirtoauto",4,IF(T273="Puoliperävaunu",6,8)))</f>
        <v>4</v>
      </c>
      <c r="AI273" s="48">
        <f>IF(AND(T273="Jakelukuorma-auto",U273=6),0,IF(AND(T273="Jakelukuorma-auto",U273=15),2,0))</f>
        <v>0</v>
      </c>
      <c r="AJ273" s="48">
        <f>IF(W273="maantieajo",0,1)</f>
        <v>0</v>
      </c>
      <c r="AK273" s="108"/>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31" customFormat="1" ht="31" x14ac:dyDescent="0.3">
      <c r="B274" s="170" t="s">
        <v>550</v>
      </c>
      <c r="C274" s="392" t="s">
        <v>330</v>
      </c>
      <c r="D274" s="393"/>
      <c r="E274" s="393"/>
      <c r="F274" s="393"/>
      <c r="G274" s="394"/>
      <c r="J274" s="33" t="s">
        <v>442</v>
      </c>
      <c r="K274" s="96">
        <f ca="1">IF(ISNUMBER(L274),L274,IF($C$100="Ei","",IF(AND($C$100="Kyllä",OR(C274=Pudotusvalikot!$D$14,C274=Pudotusvalikot!$D$15)),Kalusto!$G$97,OFFSET(Kalusto!$G$85,AH273+AJ273+AI273,0,1,1)))*IF(OR(C275=Pudotusvalikot!$V$3,C275=Pudotusvalikot!$V$4),Muut!$E$38,IF(C275=Pudotusvalikot!$V$5,Muut!$E$39,IF(C275=Pudotusvalikot!$V$6,Muut!$E$40,Muut!$E$41))))</f>
        <v>0.71940999999999999</v>
      </c>
      <c r="L274" s="40"/>
      <c r="M274" s="41" t="s">
        <v>204</v>
      </c>
      <c r="N274" s="41"/>
      <c r="O274" s="265"/>
      <c r="P274" s="34"/>
      <c r="Q274" s="52"/>
      <c r="R274" s="44"/>
      <c r="S274" s="36"/>
      <c r="T274" s="44"/>
      <c r="U274" s="44"/>
      <c r="V274" s="44"/>
      <c r="W274" s="44"/>
      <c r="X274" s="44"/>
      <c r="Y274" s="44"/>
      <c r="Z274" s="44"/>
      <c r="AA274" s="44"/>
      <c r="AB274" s="44"/>
      <c r="AC274" s="44"/>
      <c r="AD274" s="44"/>
      <c r="AE274" s="36"/>
      <c r="AF274" s="36"/>
      <c r="AG274" s="36"/>
      <c r="AH274" s="36"/>
      <c r="AI274" s="36"/>
      <c r="AJ274" s="36"/>
      <c r="AK274" s="108"/>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7" s="31" customFormat="1" ht="15.5" x14ac:dyDescent="0.3">
      <c r="B275" s="186" t="s">
        <v>506</v>
      </c>
      <c r="C275" s="160" t="s">
        <v>242</v>
      </c>
      <c r="D275" s="34"/>
      <c r="E275" s="34"/>
      <c r="F275" s="34"/>
      <c r="G275" s="34"/>
      <c r="H275" s="59"/>
      <c r="J275" s="173"/>
      <c r="K275" s="173"/>
      <c r="L275" s="173"/>
      <c r="M275" s="41"/>
      <c r="N275" s="41"/>
      <c r="O275" s="265"/>
      <c r="Q275" s="47"/>
      <c r="R275" s="232"/>
      <c r="S275" s="102"/>
      <c r="T275" s="44"/>
      <c r="U275" s="44"/>
      <c r="V275" s="220"/>
      <c r="W275" s="220"/>
      <c r="X275" s="221"/>
      <c r="Y275" s="44"/>
      <c r="Z275" s="221"/>
      <c r="AA275" s="222"/>
      <c r="AB275" s="221"/>
      <c r="AC275" s="221"/>
      <c r="AD275" s="221"/>
      <c r="AE275" s="61"/>
      <c r="AF275" s="182"/>
      <c r="AG275" s="61"/>
      <c r="AH275" s="36"/>
      <c r="AI275" s="36"/>
      <c r="AJ275" s="36"/>
      <c r="AK275" s="108"/>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5" x14ac:dyDescent="0.3">
      <c r="B276" s="45" t="s">
        <v>549</v>
      </c>
      <c r="C276" s="160"/>
      <c r="D276" s="84" t="s">
        <v>5</v>
      </c>
      <c r="G276" s="34"/>
      <c r="H276" s="84"/>
      <c r="I276" s="53"/>
      <c r="J276" s="53"/>
      <c r="K276" s="34"/>
      <c r="L276" s="34"/>
      <c r="M276" s="84"/>
      <c r="N276" s="84"/>
      <c r="O276" s="100"/>
      <c r="P276" s="53"/>
      <c r="Q276" s="52"/>
      <c r="R276" s="44"/>
      <c r="S276" s="36"/>
      <c r="T276" s="44"/>
      <c r="U276" s="44"/>
      <c r="V276" s="44"/>
      <c r="W276" s="44"/>
      <c r="X276" s="44"/>
      <c r="Y276" s="44"/>
      <c r="Z276" s="44"/>
      <c r="AA276" s="44"/>
      <c r="AB276" s="44"/>
      <c r="AC276" s="44"/>
      <c r="AD276" s="44"/>
      <c r="AE276" s="36"/>
      <c r="AF276" s="36"/>
      <c r="AG276" s="36"/>
      <c r="AH276" s="36"/>
      <c r="AI276" s="36"/>
      <c r="AJ276" s="36"/>
      <c r="AK276" s="108"/>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15.5" x14ac:dyDescent="0.3">
      <c r="B277" s="155" t="s">
        <v>3</v>
      </c>
      <c r="C277" s="34"/>
      <c r="D277" s="84"/>
      <c r="E277" s="34"/>
      <c r="F277" s="34"/>
      <c r="G277" s="38"/>
      <c r="H277" s="84"/>
      <c r="J277" s="33"/>
      <c r="K277" s="38" t="s">
        <v>329</v>
      </c>
      <c r="L277" s="38" t="s">
        <v>201</v>
      </c>
      <c r="M277" s="84"/>
      <c r="N277" s="84"/>
      <c r="O277" s="100"/>
      <c r="P277" s="34"/>
      <c r="Q277" s="35"/>
      <c r="R277" s="44" t="s">
        <v>350</v>
      </c>
      <c r="S277" s="36"/>
      <c r="T277" s="44" t="s">
        <v>446</v>
      </c>
      <c r="U277" s="44" t="s">
        <v>445</v>
      </c>
      <c r="V277" s="44" t="s">
        <v>443</v>
      </c>
      <c r="W277" s="44" t="s">
        <v>444</v>
      </c>
      <c r="X277" s="44" t="s">
        <v>447</v>
      </c>
      <c r="Y277" s="44" t="s">
        <v>449</v>
      </c>
      <c r="Z277" s="44" t="s">
        <v>448</v>
      </c>
      <c r="AA277" s="44" t="s">
        <v>202</v>
      </c>
      <c r="AB277" s="44" t="s">
        <v>380</v>
      </c>
      <c r="AC277" s="44" t="s">
        <v>450</v>
      </c>
      <c r="AD277" s="44" t="s">
        <v>381</v>
      </c>
      <c r="AE277" s="44" t="s">
        <v>451</v>
      </c>
      <c r="AF277" s="44" t="s">
        <v>452</v>
      </c>
      <c r="AG277" s="44" t="s">
        <v>638</v>
      </c>
      <c r="AH277" s="36" t="s">
        <v>206</v>
      </c>
      <c r="AI277" s="36" t="s">
        <v>278</v>
      </c>
      <c r="AJ277" s="36" t="s">
        <v>207</v>
      </c>
      <c r="AK277" s="108"/>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46.5" x14ac:dyDescent="0.3">
      <c r="B278" s="170" t="s">
        <v>553</v>
      </c>
      <c r="C278" s="160"/>
      <c r="D278" s="89" t="s">
        <v>52</v>
      </c>
      <c r="E278" s="59"/>
      <c r="F278" s="57"/>
      <c r="G278" s="161"/>
      <c r="H278" s="84" t="str">
        <f>IF(D278="t","","t/m3")</f>
        <v/>
      </c>
      <c r="J278" s="173" t="s">
        <v>441</v>
      </c>
      <c r="K278" s="96">
        <f>IF(ISNUMBER(L278),L278,IF(OR(C279=Pudotusvalikot!$D$14,C279=Pudotusvalikot!$D$15),Kalusto!$G$96,VLOOKUP(C279,Kalusto!$C$44:$G$83,5,FALSE))*IF(OR(C280=Pudotusvalikot!$V$3,C280=Pudotusvalikot!$V$4),Muut!$E$38,IF(C280=Pudotusvalikot!$V$5,Muut!$E$39,IF(C280=Pudotusvalikot!$V$6,Muut!$E$40,Muut!$E$41))))</f>
        <v>5.7709999999999997E-2</v>
      </c>
      <c r="L278" s="40"/>
      <c r="M278" s="41" t="s">
        <v>200</v>
      </c>
      <c r="N278" s="41"/>
      <c r="O278" s="265"/>
      <c r="Q278" s="47"/>
      <c r="R278" s="218" t="str">
        <f ca="1">IF(AND(NOT(ISNUMBER(AB278)),NOT(ISNUMBER(AG278))),"",IF(ISNUMBER(AB278),AB278,0)+IF(ISNUMBER(AG278),AG278,0))</f>
        <v/>
      </c>
      <c r="S278" s="102" t="s">
        <v>172</v>
      </c>
      <c r="T278" s="216" t="str">
        <f>IF(ISNUMBER(L278),"Kohdetieto",IF(OR(C279=Pudotusvalikot!$D$14,C279=Pudotusvalikot!$D$15),Kalusto!$I$96,VLOOKUP(C279,Kalusto!$C$44:$L$83,7,FALSE)))</f>
        <v>Maansiirtoauto</v>
      </c>
      <c r="U278" s="216">
        <f>IF(ISNUMBER(L278),"Kohdetieto",IF(OR(C279=Pudotusvalikot!$D$14,C279=Pudotusvalikot!$D$15),Kalusto!$J$96,VLOOKUP(C279,Kalusto!$C$44:$L$83,8,FALSE)))</f>
        <v>32</v>
      </c>
      <c r="V278" s="217">
        <f>IF(ISNUMBER(L278),"Kohdetieto",IF(OR(C279=Pudotusvalikot!$D$14,C279=Pudotusvalikot!$D$15),Kalusto!$K$96,VLOOKUP(C279,Kalusto!$C$44:$L$83,9,FALSE)))</f>
        <v>0.8</v>
      </c>
      <c r="W278" s="217" t="str">
        <f>IF(ISNUMBER(L278),"Kohdetieto",IF(OR(C279=Pudotusvalikot!$D$14,C279=Pudotusvalikot!$D$15),Kalusto!$L$96,VLOOKUP(C279,Kalusto!$C$44:$L$83,10,FALSE)))</f>
        <v>maantieajo</v>
      </c>
      <c r="X278" s="218" t="str">
        <f>IF(ISBLANK(C278),"",IF(D278="t",C278,C278*G278))</f>
        <v/>
      </c>
      <c r="Y278" s="216" t="str">
        <f>IF(ISNUMBER(C281),C281,"")</f>
        <v/>
      </c>
      <c r="Z278" s="218" t="str">
        <f>IF(ISNUMBER(X278/(U278*V278)*Y278),X278/(U278*V278)*Y278,"")</f>
        <v/>
      </c>
      <c r="AA278" s="219">
        <f>IF(ISNUMBER(L278),L278,K278)</f>
        <v>5.7709999999999997E-2</v>
      </c>
      <c r="AB278" s="218" t="str">
        <f>IF(ISNUMBER(Y278*X278*K278),Y278*X278*K278,"")</f>
        <v/>
      </c>
      <c r="AC278" s="218" t="str">
        <f>IF(ISNUMBER(Y278),Y278,"")</f>
        <v/>
      </c>
      <c r="AD278" s="218" t="str">
        <f>IF(ISNUMBER(X278),IF(ISNUMBER(X278/(U278*V278)),CEILING(X278/(U278*V278),1),""),"")</f>
        <v/>
      </c>
      <c r="AE278" s="50" t="str">
        <f>IF(ISNUMBER(AD278*AC278),AD278*AC278,"")</f>
        <v/>
      </c>
      <c r="AF278" s="51">
        <f ca="1">IF(ISNUMBER(L279),L279,K279)</f>
        <v>0.71940999999999999</v>
      </c>
      <c r="AG278" s="50" t="str">
        <f ca="1">IF(ISNUMBER(AC278*AD278*K279),AC278*AD278*K279,"")</f>
        <v/>
      </c>
      <c r="AH278" s="48">
        <f>IF(T278="Jakelukuorma-auto",0,IF(T278="Maansiirtoauto",4,IF(T278="Puoliperävaunu",6,8)))</f>
        <v>4</v>
      </c>
      <c r="AI278" s="48">
        <f>IF(AND(T278="Jakelukuorma-auto",U278=6),0,IF(AND(T278="Jakelukuorma-auto",U278=15),2,0))</f>
        <v>0</v>
      </c>
      <c r="AJ278" s="48">
        <f>IF(W278="maantieajo",0,1)</f>
        <v>0</v>
      </c>
      <c r="AK278" s="108"/>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31" x14ac:dyDescent="0.3">
      <c r="B279" s="170" t="s">
        <v>550</v>
      </c>
      <c r="C279" s="392" t="s">
        <v>330</v>
      </c>
      <c r="D279" s="393"/>
      <c r="E279" s="393"/>
      <c r="F279" s="393"/>
      <c r="G279" s="394"/>
      <c r="J279" s="33" t="s">
        <v>442</v>
      </c>
      <c r="K279" s="96">
        <f ca="1">IF(ISNUMBER(L279),L279,IF($C$100="Ei","",IF(AND($C$100="Kyllä",OR(C279=Pudotusvalikot!$D$14,C279=Pudotusvalikot!$D$15)),Kalusto!$G$97,OFFSET(Kalusto!$G$85,AH278+AJ278+AI278,0,1,1)))*IF(OR(C280=Pudotusvalikot!$V$3,C280=Pudotusvalikot!$V$4),Muut!$E$38,IF(C280=Pudotusvalikot!$V$5,Muut!$E$39,IF(C280=Pudotusvalikot!$V$6,Muut!$E$40,Muut!$E$41))))</f>
        <v>0.71940999999999999</v>
      </c>
      <c r="L279" s="40"/>
      <c r="M279" s="41" t="s">
        <v>204</v>
      </c>
      <c r="N279" s="41"/>
      <c r="O279" s="265"/>
      <c r="P279" s="34"/>
      <c r="Q279" s="52"/>
      <c r="R279" s="44"/>
      <c r="S279" s="36"/>
      <c r="T279" s="44"/>
      <c r="U279" s="44"/>
      <c r="V279" s="44"/>
      <c r="W279" s="44"/>
      <c r="X279" s="44"/>
      <c r="Y279" s="44"/>
      <c r="Z279" s="44"/>
      <c r="AA279" s="44"/>
      <c r="AB279" s="44"/>
      <c r="AC279" s="44"/>
      <c r="AD279" s="44"/>
      <c r="AE279" s="36"/>
      <c r="AF279" s="36"/>
      <c r="AG279" s="36"/>
      <c r="AH279" s="36"/>
      <c r="AI279" s="36"/>
      <c r="AJ279" s="36"/>
      <c r="AK279" s="108"/>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31" customFormat="1" ht="15.5" x14ac:dyDescent="0.3">
      <c r="B280" s="186" t="s">
        <v>506</v>
      </c>
      <c r="C280" s="160" t="s">
        <v>242</v>
      </c>
      <c r="D280" s="34"/>
      <c r="E280" s="34"/>
      <c r="F280" s="34"/>
      <c r="G280" s="34"/>
      <c r="H280" s="59"/>
      <c r="J280" s="173"/>
      <c r="K280" s="173"/>
      <c r="L280" s="173"/>
      <c r="M280" s="41"/>
      <c r="N280" s="41"/>
      <c r="O280" s="265"/>
      <c r="Q280" s="47"/>
      <c r="R280" s="232"/>
      <c r="S280" s="102"/>
      <c r="T280" s="44"/>
      <c r="U280" s="44"/>
      <c r="V280" s="220"/>
      <c r="W280" s="220"/>
      <c r="X280" s="221"/>
      <c r="Y280" s="44"/>
      <c r="Z280" s="221"/>
      <c r="AA280" s="222"/>
      <c r="AB280" s="221"/>
      <c r="AC280" s="221"/>
      <c r="AD280" s="221"/>
      <c r="AE280" s="61"/>
      <c r="AF280" s="182"/>
      <c r="AG280" s="61"/>
      <c r="AH280" s="36"/>
      <c r="AI280" s="36"/>
      <c r="AJ280" s="36"/>
      <c r="AK280" s="108"/>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7" s="31" customFormat="1" ht="15.5" x14ac:dyDescent="0.3">
      <c r="B281" s="45" t="s">
        <v>549</v>
      </c>
      <c r="C281" s="160"/>
      <c r="D281" s="84" t="s">
        <v>176</v>
      </c>
      <c r="G281" s="34"/>
      <c r="H281" s="84"/>
      <c r="I281" s="53"/>
      <c r="J281" s="53"/>
      <c r="K281" s="34"/>
      <c r="L281" s="34"/>
      <c r="M281" s="84"/>
      <c r="N281" s="84"/>
      <c r="O281" s="100"/>
      <c r="P281" s="53"/>
      <c r="Q281" s="52"/>
      <c r="R281" s="44"/>
      <c r="S281" s="36"/>
      <c r="T281" s="44"/>
      <c r="U281" s="44"/>
      <c r="V281" s="44"/>
      <c r="W281" s="44"/>
      <c r="X281" s="44"/>
      <c r="Y281" s="44"/>
      <c r="Z281" s="44"/>
      <c r="AA281" s="44"/>
      <c r="AB281" s="44"/>
      <c r="AC281" s="44"/>
      <c r="AD281" s="44"/>
      <c r="AE281" s="36"/>
      <c r="AF281" s="36"/>
      <c r="AG281" s="36"/>
      <c r="AH281" s="36"/>
      <c r="AI281" s="36"/>
      <c r="AJ281" s="36"/>
      <c r="AK281" s="108"/>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5" x14ac:dyDescent="0.3">
      <c r="B282" s="155" t="s">
        <v>4</v>
      </c>
      <c r="C282" s="34"/>
      <c r="D282" s="84"/>
      <c r="G282" s="34"/>
      <c r="H282" s="84"/>
      <c r="J282" s="33"/>
      <c r="K282" s="38" t="s">
        <v>329</v>
      </c>
      <c r="L282" s="38" t="s">
        <v>201</v>
      </c>
      <c r="M282" s="84"/>
      <c r="N282" s="84"/>
      <c r="O282" s="100"/>
      <c r="P282" s="34"/>
      <c r="Q282" s="35"/>
      <c r="R282" s="44" t="s">
        <v>350</v>
      </c>
      <c r="S282" s="36"/>
      <c r="T282" s="44" t="s">
        <v>446</v>
      </c>
      <c r="U282" s="44" t="s">
        <v>445</v>
      </c>
      <c r="V282" s="44" t="s">
        <v>443</v>
      </c>
      <c r="W282" s="44" t="s">
        <v>444</v>
      </c>
      <c r="X282" s="44" t="s">
        <v>447</v>
      </c>
      <c r="Y282" s="44" t="s">
        <v>449</v>
      </c>
      <c r="Z282" s="44" t="s">
        <v>448</v>
      </c>
      <c r="AA282" s="44" t="s">
        <v>202</v>
      </c>
      <c r="AB282" s="44" t="s">
        <v>380</v>
      </c>
      <c r="AC282" s="44" t="s">
        <v>450</v>
      </c>
      <c r="AD282" s="44" t="s">
        <v>381</v>
      </c>
      <c r="AE282" s="44" t="s">
        <v>451</v>
      </c>
      <c r="AF282" s="44" t="s">
        <v>452</v>
      </c>
      <c r="AG282" s="44" t="s">
        <v>638</v>
      </c>
      <c r="AH282" s="36" t="s">
        <v>206</v>
      </c>
      <c r="AI282" s="36" t="s">
        <v>278</v>
      </c>
      <c r="AJ282" s="36" t="s">
        <v>207</v>
      </c>
      <c r="AK282" s="108"/>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46.5" x14ac:dyDescent="0.3">
      <c r="B283" s="170" t="s">
        <v>553</v>
      </c>
      <c r="C283" s="161"/>
      <c r="D283" s="89" t="s">
        <v>52</v>
      </c>
      <c r="E283" s="59"/>
      <c r="F283" s="57"/>
      <c r="G283" s="161"/>
      <c r="H283" s="84" t="str">
        <f>IF(D283="t","","t/m3")</f>
        <v/>
      </c>
      <c r="J283" s="173" t="s">
        <v>441</v>
      </c>
      <c r="K283" s="96">
        <f>IF(ISNUMBER(L283),L283,IF(OR(C284=Pudotusvalikot!$D$14,C284=Pudotusvalikot!$D$15),Kalusto!$G$96,VLOOKUP(C284,Kalusto!$C$44:$G$83,5,FALSE))*IF(OR(C285=Pudotusvalikot!$V$3,C285=Pudotusvalikot!$V$4),Muut!$E$38,IF(C285=Pudotusvalikot!$V$5,Muut!$E$39,IF(C285=Pudotusvalikot!$V$6,Muut!$E$40,Muut!$E$41))))</f>
        <v>5.7709999999999997E-2</v>
      </c>
      <c r="L283" s="40"/>
      <c r="M283" s="41" t="s">
        <v>200</v>
      </c>
      <c r="N283" s="41"/>
      <c r="O283" s="265"/>
      <c r="Q283" s="47"/>
      <c r="R283" s="218" t="str">
        <f ca="1">IF(AND(NOT(ISNUMBER(AB283)),NOT(ISNUMBER(AG283))),"",IF(ISNUMBER(AB283),AB283,0)+IF(ISNUMBER(AG283),AG283,0))</f>
        <v/>
      </c>
      <c r="S283" s="102" t="s">
        <v>172</v>
      </c>
      <c r="T283" s="216" t="str">
        <f>IF(ISNUMBER(L283),"Kohdetieto",IF(OR(C284=Pudotusvalikot!$D$14,C284=Pudotusvalikot!$D$15),Kalusto!$I$96,VLOOKUP(C284,Kalusto!$C$44:$L$83,7,FALSE)))</f>
        <v>Maansiirtoauto</v>
      </c>
      <c r="U283" s="216">
        <f>IF(ISNUMBER(L283),"Kohdetieto",IF(OR(C284=Pudotusvalikot!$D$14,C284=Pudotusvalikot!$D$15),Kalusto!$J$96,VLOOKUP(C284,Kalusto!$C$44:$L$83,8,FALSE)))</f>
        <v>32</v>
      </c>
      <c r="V283" s="217">
        <f>IF(ISNUMBER(L283),"Kohdetieto",IF(OR(C284=Pudotusvalikot!$D$14,C284=Pudotusvalikot!$D$15),Kalusto!$K$96,VLOOKUP(C284,Kalusto!$C$44:$L$83,9,FALSE)))</f>
        <v>0.8</v>
      </c>
      <c r="W283" s="217" t="str">
        <f>IF(ISNUMBER(L283),"Kohdetieto",IF(OR(C284=Pudotusvalikot!$D$14,C284=Pudotusvalikot!$D$15),Kalusto!$L$96,VLOOKUP(C284,Kalusto!$C$44:$L$83,10,FALSE)))</f>
        <v>maantieajo</v>
      </c>
      <c r="X283" s="218" t="str">
        <f>IF(ISBLANK(C283),"",IF(D283="t",C283,C283*G283))</f>
        <v/>
      </c>
      <c r="Y283" s="216" t="str">
        <f>IF(ISNUMBER(C286),C286,"")</f>
        <v/>
      </c>
      <c r="Z283" s="218" t="str">
        <f>IF(ISNUMBER(X283/(U283*V283)*Y283),X283/(U283*V283)*Y283,"")</f>
        <v/>
      </c>
      <c r="AA283" s="219">
        <f>IF(ISNUMBER(L283),L283,K283)</f>
        <v>5.7709999999999997E-2</v>
      </c>
      <c r="AB283" s="218" t="str">
        <f>IF(ISNUMBER(Y283*X283*K283),Y283*X283*K283,"")</f>
        <v/>
      </c>
      <c r="AC283" s="218" t="str">
        <f>IF(ISNUMBER(Y283),Y283,"")</f>
        <v/>
      </c>
      <c r="AD283" s="218" t="str">
        <f>IF(ISNUMBER(X283),IF(ISNUMBER(X283/(U283*V283)),CEILING(X283/(U283*V283),1),""),"")</f>
        <v/>
      </c>
      <c r="AE283" s="50" t="str">
        <f>IF(ISNUMBER(AD283*AC283),AD283*AC283,"")</f>
        <v/>
      </c>
      <c r="AF283" s="51">
        <f ca="1">IF(ISNUMBER(L284),L284,K284)</f>
        <v>0.71940999999999999</v>
      </c>
      <c r="AG283" s="50" t="str">
        <f ca="1">IF(ISNUMBER(AC283*AD283*K284),AC283*AD283*K284,"")</f>
        <v/>
      </c>
      <c r="AH283" s="48">
        <f>IF(T283="Jakelukuorma-auto",0,IF(T283="Maansiirtoauto",4,IF(T283="Puoliperävaunu",6,8)))</f>
        <v>4</v>
      </c>
      <c r="AI283" s="48">
        <f>IF(AND(T283="Jakelukuorma-auto",U283=6),0,IF(AND(T283="Jakelukuorma-auto",U283=15),2,0))</f>
        <v>0</v>
      </c>
      <c r="AJ283" s="48">
        <f>IF(W283="maantieajo",0,1)</f>
        <v>0</v>
      </c>
      <c r="AK283" s="108"/>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31" x14ac:dyDescent="0.3">
      <c r="B284" s="170" t="s">
        <v>550</v>
      </c>
      <c r="C284" s="392" t="s">
        <v>330</v>
      </c>
      <c r="D284" s="393"/>
      <c r="E284" s="393"/>
      <c r="F284" s="393"/>
      <c r="G284" s="394"/>
      <c r="I284" s="59"/>
      <c r="J284" s="33" t="s">
        <v>442</v>
      </c>
      <c r="K284" s="96">
        <f ca="1">IF(ISNUMBER(L284),L284,IF($C$100="Ei","",IF(AND($C$100="Kyllä",OR(C284=Pudotusvalikot!$D$14,C284=Pudotusvalikot!$D$15)),Kalusto!$G$97,OFFSET(Kalusto!$G$85,AH283+AJ283+AI283,0,1,1)))*IF(OR(C285=Pudotusvalikot!$V$3,C285=Pudotusvalikot!$V$4),Muut!$E$38,IF(C285=Pudotusvalikot!$V$5,Muut!$E$39,IF(C285=Pudotusvalikot!$V$6,Muut!$E$40,Muut!$E$41))))</f>
        <v>0.71940999999999999</v>
      </c>
      <c r="L284" s="40"/>
      <c r="M284" s="41" t="s">
        <v>204</v>
      </c>
      <c r="N284" s="41"/>
      <c r="O284" s="265"/>
      <c r="P284" s="34"/>
      <c r="Q284" s="52"/>
      <c r="R284" s="106"/>
      <c r="S284" s="36"/>
      <c r="T284" s="44"/>
      <c r="U284" s="44"/>
      <c r="V284" s="44"/>
      <c r="W284" s="44"/>
      <c r="X284" s="44"/>
      <c r="Y284" s="44"/>
      <c r="Z284" s="44"/>
      <c r="AA284" s="44"/>
      <c r="AB284" s="44"/>
      <c r="AC284" s="44"/>
      <c r="AD284" s="44"/>
      <c r="AE284" s="36"/>
      <c r="AF284" s="36"/>
      <c r="AG284" s="36"/>
      <c r="AH284" s="36"/>
      <c r="AI284" s="36"/>
      <c r="AJ284" s="36"/>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15.5" x14ac:dyDescent="0.3">
      <c r="B285" s="186" t="s">
        <v>506</v>
      </c>
      <c r="C285" s="160" t="s">
        <v>242</v>
      </c>
      <c r="D285" s="34"/>
      <c r="E285" s="34"/>
      <c r="F285" s="34"/>
      <c r="G285" s="34"/>
      <c r="H285" s="59"/>
      <c r="J285" s="173"/>
      <c r="K285" s="173"/>
      <c r="L285" s="173"/>
      <c r="M285" s="41"/>
      <c r="N285" s="41"/>
      <c r="O285" s="265"/>
      <c r="Q285" s="47"/>
      <c r="R285" s="232"/>
      <c r="S285" s="102"/>
      <c r="T285" s="44"/>
      <c r="U285" s="44"/>
      <c r="V285" s="220"/>
      <c r="W285" s="220"/>
      <c r="X285" s="221"/>
      <c r="Y285" s="44"/>
      <c r="Z285" s="221"/>
      <c r="AA285" s="222"/>
      <c r="AB285" s="221"/>
      <c r="AC285" s="221"/>
      <c r="AD285" s="221"/>
      <c r="AE285" s="61"/>
      <c r="AF285" s="182"/>
      <c r="AG285" s="61"/>
      <c r="AH285" s="36"/>
      <c r="AI285" s="36"/>
      <c r="AJ285" s="36"/>
      <c r="AK285" s="108"/>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15.5" x14ac:dyDescent="0.3">
      <c r="B286" s="45" t="s">
        <v>549</v>
      </c>
      <c r="C286" s="162"/>
      <c r="D286" s="84" t="s">
        <v>5</v>
      </c>
      <c r="G286" s="34"/>
      <c r="H286" s="84"/>
      <c r="I286" s="53"/>
      <c r="J286" s="53"/>
      <c r="K286" s="34"/>
      <c r="L286" s="34"/>
      <c r="M286" s="84"/>
      <c r="N286" s="84"/>
      <c r="O286" s="100"/>
      <c r="P286" s="53"/>
      <c r="Q286" s="52"/>
      <c r="R286" s="106"/>
      <c r="S286" s="36"/>
      <c r="T286" s="44"/>
      <c r="U286" s="44"/>
      <c r="V286" s="44"/>
      <c r="W286" s="44"/>
      <c r="X286" s="44"/>
      <c r="Y286" s="44"/>
      <c r="Z286" s="44"/>
      <c r="AA286" s="44"/>
      <c r="AB286" s="44"/>
      <c r="AC286" s="44"/>
      <c r="AD286" s="44"/>
      <c r="AE286" s="36"/>
      <c r="AF286" s="36"/>
      <c r="AG286" s="36"/>
      <c r="AH286" s="36"/>
      <c r="AI286" s="36"/>
      <c r="AJ286" s="36"/>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5" x14ac:dyDescent="0.3">
      <c r="B287" s="54"/>
      <c r="C287" s="34"/>
      <c r="D287" s="59"/>
      <c r="E287" s="58"/>
      <c r="F287" s="58"/>
      <c r="G287" s="34"/>
      <c r="H287" s="84"/>
      <c r="J287" s="33"/>
      <c r="K287" s="34"/>
      <c r="L287" s="34"/>
      <c r="M287" s="84"/>
      <c r="N287" s="84"/>
      <c r="O287" s="100"/>
      <c r="Q287" s="35"/>
      <c r="R287" s="106"/>
      <c r="S287" s="36"/>
      <c r="T287" s="44"/>
      <c r="U287" s="44"/>
      <c r="V287" s="44"/>
      <c r="W287" s="44"/>
      <c r="X287" s="44"/>
      <c r="Y287" s="44"/>
      <c r="Z287" s="44"/>
      <c r="AA287" s="44"/>
      <c r="AB287" s="44"/>
      <c r="AC287" s="44"/>
      <c r="AD287" s="44"/>
      <c r="AE287" s="36"/>
      <c r="AF287" s="36"/>
      <c r="AG287" s="36"/>
      <c r="AH287" s="36"/>
      <c r="AI287" s="36"/>
      <c r="AJ287" s="36"/>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15.5" x14ac:dyDescent="0.3">
      <c r="B288" s="177" t="s">
        <v>554</v>
      </c>
      <c r="C288" s="34"/>
      <c r="D288" s="59"/>
      <c r="E288" s="58"/>
      <c r="F288" s="58"/>
      <c r="G288" s="34"/>
      <c r="H288" s="84"/>
      <c r="J288" s="33"/>
      <c r="K288" s="34"/>
      <c r="L288" s="34"/>
      <c r="M288" s="84"/>
      <c r="N288" s="84"/>
      <c r="O288" s="100"/>
      <c r="Q288" s="35"/>
      <c r="R288" s="106"/>
      <c r="S288" s="36"/>
      <c r="T288" s="44"/>
      <c r="U288" s="44"/>
      <c r="V288" s="44"/>
      <c r="W288" s="44"/>
      <c r="X288" s="44"/>
      <c r="Y288" s="44"/>
      <c r="Z288" s="44"/>
      <c r="AA288" s="44"/>
      <c r="AB288" s="44"/>
      <c r="AC288" s="44"/>
      <c r="AD288" s="44"/>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7" s="31" customFormat="1" ht="15.5" x14ac:dyDescent="0.3">
      <c r="B289" s="54"/>
      <c r="C289" s="34"/>
      <c r="D289" s="59"/>
      <c r="E289" s="58"/>
      <c r="F289" s="58"/>
      <c r="G289" s="34"/>
      <c r="H289" s="84"/>
      <c r="J289" s="33"/>
      <c r="K289" s="34"/>
      <c r="L289" s="34"/>
      <c r="M289" s="84"/>
      <c r="N289" s="84"/>
      <c r="O289" s="84"/>
      <c r="Q289" s="35"/>
      <c r="R289" s="106"/>
      <c r="S289" s="36"/>
      <c r="T289" s="44"/>
      <c r="U289" s="44"/>
      <c r="V289" s="44"/>
      <c r="W289" s="44"/>
      <c r="X289" s="44"/>
      <c r="Y289" s="44"/>
      <c r="Z289" s="44"/>
      <c r="AA289" s="44"/>
      <c r="AB289" s="44"/>
      <c r="AC289" s="44"/>
      <c r="AD289" s="44"/>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7" s="298" customFormat="1" ht="18" x14ac:dyDescent="0.3">
      <c r="B290" s="295" t="s">
        <v>41</v>
      </c>
      <c r="C290" s="296"/>
      <c r="D290" s="297"/>
      <c r="G290" s="296"/>
      <c r="H290" s="297"/>
      <c r="K290" s="296"/>
      <c r="L290" s="296"/>
      <c r="M290" s="297"/>
      <c r="N290" s="297"/>
      <c r="O290" s="300"/>
      <c r="P290" s="320"/>
      <c r="Q290" s="304"/>
      <c r="S290" s="303"/>
      <c r="T290" s="303"/>
      <c r="U290" s="303"/>
      <c r="V290" s="303"/>
      <c r="W290" s="303"/>
      <c r="X290" s="303"/>
      <c r="Y290" s="303"/>
      <c r="Z290" s="303"/>
      <c r="AA290" s="303"/>
      <c r="AB290" s="303"/>
      <c r="AC290" s="303"/>
      <c r="AD290" s="303"/>
      <c r="AE290" s="303"/>
      <c r="AF290" s="303"/>
      <c r="AG290" s="303"/>
      <c r="AH290" s="303"/>
      <c r="AI290" s="303"/>
      <c r="AJ290" s="303"/>
      <c r="AK290" s="303"/>
      <c r="AL290" s="303"/>
      <c r="AM290" s="303"/>
      <c r="AN290" s="304"/>
      <c r="AO290" s="304"/>
      <c r="AP290" s="304"/>
      <c r="AQ290" s="304"/>
      <c r="AR290" s="304"/>
      <c r="AS290" s="304"/>
      <c r="AT290" s="304"/>
      <c r="AU290" s="304"/>
      <c r="AV290" s="304"/>
      <c r="AW290" s="304"/>
      <c r="AX290" s="304"/>
      <c r="AY290" s="304"/>
      <c r="AZ290" s="304"/>
      <c r="BA290" s="304"/>
      <c r="BB290" s="304"/>
      <c r="BC290" s="304"/>
      <c r="BD290" s="304"/>
      <c r="BE290" s="304"/>
    </row>
    <row r="291" spans="2:57" s="31" customFormat="1" ht="15.5" x14ac:dyDescent="0.3">
      <c r="B291" s="9"/>
      <c r="C291" s="34"/>
      <c r="D291" s="84"/>
      <c r="G291" s="34"/>
      <c r="H291" s="84"/>
      <c r="J291" s="33"/>
      <c r="K291" s="34"/>
      <c r="L291" s="34"/>
      <c r="M291" s="84"/>
      <c r="N291" s="84"/>
      <c r="O291" s="84"/>
      <c r="Q291" s="35"/>
      <c r="R291" s="106"/>
      <c r="S291" s="36"/>
      <c r="T291" s="44"/>
      <c r="U291" s="44"/>
      <c r="V291" s="44"/>
      <c r="W291" s="44"/>
      <c r="X291" s="44"/>
      <c r="Y291" s="44"/>
      <c r="Z291" s="44"/>
      <c r="AA291" s="44"/>
      <c r="AB291" s="44"/>
      <c r="AC291" s="44"/>
      <c r="AD291" s="44"/>
      <c r="AE291" s="36"/>
      <c r="AF291" s="36"/>
      <c r="AG291" s="36"/>
      <c r="AH291" s="36"/>
      <c r="AI291" s="36"/>
      <c r="AJ291" s="36"/>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7" s="31" customFormat="1" ht="15.5" x14ac:dyDescent="0.3">
      <c r="B292" s="9" t="s">
        <v>597</v>
      </c>
      <c r="C292" s="34"/>
      <c r="D292" s="84"/>
      <c r="G292" s="34"/>
      <c r="H292" s="84"/>
      <c r="J292" s="33"/>
      <c r="K292" s="38"/>
      <c r="L292" s="38"/>
      <c r="M292" s="84"/>
      <c r="N292" s="84"/>
      <c r="O292" s="255" t="s">
        <v>644</v>
      </c>
      <c r="Q292" s="35"/>
      <c r="R292" s="44"/>
      <c r="S292" s="36"/>
      <c r="T292" s="44"/>
      <c r="U292" s="44"/>
      <c r="V292" s="44"/>
      <c r="W292" s="44"/>
      <c r="X292" s="44"/>
      <c r="Y292" s="44"/>
      <c r="Z292" s="44"/>
      <c r="AA292" s="44"/>
      <c r="AB292" s="44"/>
      <c r="AC292" s="44"/>
      <c r="AD292" s="44"/>
      <c r="AE292" s="36"/>
      <c r="AF292" s="36"/>
      <c r="AG292" s="36"/>
      <c r="AH292" s="36"/>
      <c r="AI292" s="36"/>
      <c r="AJ292" s="36"/>
      <c r="AK292" s="36"/>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7" s="31" customFormat="1" ht="15.5" x14ac:dyDescent="0.3">
      <c r="B293" s="9"/>
      <c r="C293" s="34"/>
      <c r="D293" s="84"/>
      <c r="G293" s="34"/>
      <c r="H293" s="84"/>
      <c r="J293" s="33"/>
      <c r="K293" s="38" t="s">
        <v>329</v>
      </c>
      <c r="L293" s="38" t="s">
        <v>201</v>
      </c>
      <c r="M293" s="84"/>
      <c r="N293" s="84"/>
      <c r="O293" s="256"/>
      <c r="Q293" s="35"/>
      <c r="R293" s="44" t="s">
        <v>350</v>
      </c>
      <c r="S293" s="36"/>
      <c r="T293" s="44"/>
      <c r="U293" s="44"/>
      <c r="V293" s="44"/>
      <c r="W293" s="44"/>
      <c r="X293" s="44"/>
      <c r="Y293" s="44"/>
      <c r="Z293" s="44"/>
      <c r="AA293" s="44"/>
      <c r="AB293" s="44"/>
      <c r="AC293" s="44"/>
      <c r="AD293" s="44"/>
      <c r="AE293" s="36"/>
      <c r="AF293" s="36"/>
      <c r="AG293" s="36"/>
      <c r="AH293" s="36"/>
      <c r="AI293" s="36"/>
      <c r="AJ293" s="36"/>
      <c r="AK293" s="36"/>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7" s="31" customFormat="1" ht="31" x14ac:dyDescent="0.3">
      <c r="B294" s="86" t="s">
        <v>551</v>
      </c>
      <c r="C294" s="160"/>
      <c r="D294" s="84" t="s">
        <v>175</v>
      </c>
      <c r="G294" s="34"/>
      <c r="H294" s="84"/>
      <c r="J294" s="33" t="s">
        <v>565</v>
      </c>
      <c r="K294" s="96">
        <f>IF(ISNUMBER(L294),L294,Muut!$H$28*IF(OR(C295=Pudotusvalikot!$V$3,C295=Pudotusvalikot!$V$4),Muut!$E$38,IF(C295=Pudotusvalikot!$V$5,Muut!$E$39,IF(C295=Pudotusvalikot!$V$6,Muut!$E$40,Muut!$E$41))))</f>
        <v>0.22753333333333334</v>
      </c>
      <c r="L294" s="63"/>
      <c r="M294" s="41" t="s">
        <v>226</v>
      </c>
      <c r="N294" s="41"/>
      <c r="O294" s="265"/>
      <c r="Q294" s="35"/>
      <c r="R294" s="242" t="str">
        <f>IF(AND(ISNUMBER(K294),ISNUMBER(C294)),K294*C294,"")</f>
        <v/>
      </c>
      <c r="S294" s="102" t="s">
        <v>172</v>
      </c>
      <c r="T294" s="221"/>
      <c r="U294" s="221"/>
      <c r="V294" s="221"/>
      <c r="W294" s="44"/>
      <c r="X294" s="44"/>
      <c r="Y294" s="44"/>
      <c r="Z294" s="44"/>
      <c r="AA294" s="44"/>
      <c r="AB294" s="44"/>
      <c r="AC294" s="44"/>
      <c r="AD294" s="44"/>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7" s="31" customFormat="1" ht="15.5" x14ac:dyDescent="0.3">
      <c r="B295" s="170" t="s">
        <v>509</v>
      </c>
      <c r="C295" s="160" t="s">
        <v>242</v>
      </c>
      <c r="D295" s="34"/>
      <c r="E295" s="34"/>
      <c r="F295" s="34"/>
      <c r="G295" s="34"/>
      <c r="H295" s="34"/>
      <c r="I295" s="34"/>
      <c r="J295" s="173"/>
      <c r="K295" s="173"/>
      <c r="L295" s="173"/>
      <c r="M295" s="41"/>
      <c r="N295" s="41"/>
      <c r="O295" s="265"/>
      <c r="Q295" s="47"/>
      <c r="R295" s="221"/>
      <c r="S295" s="102"/>
      <c r="T295" s="44"/>
      <c r="U295" s="44"/>
      <c r="V295" s="220"/>
      <c r="W295" s="220"/>
      <c r="X295" s="221"/>
      <c r="Y295" s="44"/>
      <c r="Z295" s="221"/>
      <c r="AA295" s="222"/>
      <c r="AB295" s="221"/>
      <c r="AC295" s="221"/>
      <c r="AD295" s="221"/>
      <c r="AE295" s="61"/>
      <c r="AF295" s="182"/>
      <c r="AG295" s="61"/>
      <c r="AH295" s="36"/>
      <c r="AI295" s="36"/>
      <c r="AJ295" s="36"/>
      <c r="AK295" s="108"/>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7" s="31" customFormat="1" ht="46.5" x14ac:dyDescent="0.3">
      <c r="B296" s="86" t="s">
        <v>527</v>
      </c>
      <c r="F296" s="34"/>
      <c r="G296" s="34"/>
      <c r="H296" s="34"/>
      <c r="I296" s="34"/>
      <c r="K296" s="38" t="s">
        <v>329</v>
      </c>
      <c r="L296" s="38" t="s">
        <v>201</v>
      </c>
      <c r="M296" s="84"/>
      <c r="N296" s="84"/>
      <c r="O296" s="100"/>
      <c r="Q296" s="35"/>
      <c r="R296" s="44" t="s">
        <v>350</v>
      </c>
      <c r="S296" s="108"/>
      <c r="T296" s="44"/>
      <c r="U296" s="44"/>
      <c r="V296" s="44"/>
      <c r="W296" s="44"/>
      <c r="X296" s="44"/>
      <c r="Y296" s="44"/>
      <c r="Z296" s="44"/>
      <c r="AA296" s="44"/>
      <c r="AB296" s="44"/>
      <c r="AC296" s="44"/>
      <c r="AD296" s="44"/>
      <c r="AE296" s="36"/>
      <c r="AF296" s="36"/>
      <c r="AG296" s="36"/>
      <c r="AH296" s="36"/>
      <c r="AI296" s="36"/>
      <c r="AJ296" s="36"/>
      <c r="AK296" s="36"/>
      <c r="AL296" s="36"/>
      <c r="AM296" s="36"/>
      <c r="AN296" s="37"/>
      <c r="AO296" s="37"/>
      <c r="AP296" s="37"/>
      <c r="AQ296" s="37"/>
      <c r="AR296" s="37"/>
      <c r="AS296" s="37"/>
      <c r="AT296" s="37"/>
      <c r="AU296" s="37"/>
      <c r="AV296" s="37"/>
      <c r="AW296" s="37"/>
      <c r="AX296" s="37"/>
      <c r="AY296" s="37"/>
      <c r="AZ296" s="37"/>
      <c r="BA296" s="37"/>
      <c r="BB296" s="37"/>
      <c r="BC296" s="37"/>
      <c r="BD296" s="37"/>
      <c r="BE296" s="37"/>
    </row>
    <row r="297" spans="2:57" s="31" customFormat="1" ht="15.5" x14ac:dyDescent="0.3">
      <c r="B297" s="136" t="s">
        <v>555</v>
      </c>
      <c r="C297" s="66"/>
      <c r="D297" s="84" t="s">
        <v>52</v>
      </c>
      <c r="G297" s="34"/>
      <c r="H297" s="84"/>
      <c r="J297" s="33" t="s">
        <v>382</v>
      </c>
      <c r="K297" s="138">
        <f>IF(ISNUMBER(L297),L297,Muut!$H$30)</f>
        <v>33.857142857142854</v>
      </c>
      <c r="L297" s="63"/>
      <c r="M297" s="41" t="s">
        <v>277</v>
      </c>
      <c r="N297" s="41"/>
      <c r="O297" s="265"/>
      <c r="Q297" s="35"/>
      <c r="R297" s="242" t="str">
        <f>IF(AND(ISNUMBER(K297),ISNUMBER(C297)),K297*C297,"")</f>
        <v/>
      </c>
      <c r="S297" s="102" t="s">
        <v>172</v>
      </c>
      <c r="T297" s="44"/>
      <c r="U297" s="44"/>
      <c r="V297" s="44"/>
      <c r="W297" s="44"/>
      <c r="X297" s="44"/>
      <c r="Y297" s="44"/>
      <c r="Z297" s="44"/>
      <c r="AA297" s="44"/>
      <c r="AB297" s="44"/>
      <c r="AC297" s="44"/>
      <c r="AD297" s="44"/>
      <c r="AE297" s="36"/>
      <c r="AF297" s="36"/>
      <c r="AG297" s="36"/>
      <c r="AH297" s="36"/>
      <c r="AI297" s="36"/>
      <c r="AJ297" s="36"/>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7" s="31" customFormat="1" ht="31" x14ac:dyDescent="0.3">
      <c r="B298" s="170" t="s">
        <v>570</v>
      </c>
      <c r="C298" s="160"/>
      <c r="D298" s="84" t="s">
        <v>8</v>
      </c>
      <c r="E298" s="34"/>
      <c r="F298" s="34"/>
      <c r="G298" s="34"/>
      <c r="H298" s="84"/>
      <c r="J298" s="33" t="s">
        <v>560</v>
      </c>
      <c r="K298" s="96" t="str">
        <f>IF(ISNUMBER(L298),L298,"")</f>
        <v/>
      </c>
      <c r="L298" s="185"/>
      <c r="M298" s="41" t="s">
        <v>277</v>
      </c>
      <c r="N298" s="41"/>
      <c r="O298" s="265"/>
      <c r="Q298" s="35"/>
      <c r="R298" s="242" t="str">
        <f>IF(AND(ISNUMBER(K298),ISNUMBER(C298)),-K298*C298,"")</f>
        <v/>
      </c>
      <c r="S298" s="102" t="s">
        <v>172</v>
      </c>
      <c r="T298" s="231" t="s">
        <v>383</v>
      </c>
      <c r="U298" s="44"/>
      <c r="V298" s="44"/>
      <c r="W298" s="44"/>
      <c r="X298" s="44"/>
      <c r="Y298" s="44"/>
      <c r="Z298" s="44"/>
      <c r="AA298" s="44"/>
      <c r="AB298" s="44"/>
      <c r="AC298" s="44"/>
      <c r="AD298" s="44"/>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7" s="31" customFormat="1" ht="31" x14ac:dyDescent="0.3">
      <c r="B299" s="170" t="s">
        <v>571</v>
      </c>
      <c r="C299" s="160"/>
      <c r="D299" s="84" t="s">
        <v>8</v>
      </c>
      <c r="E299" s="34"/>
      <c r="F299" s="34"/>
      <c r="G299" s="34"/>
      <c r="H299" s="84"/>
      <c r="J299" s="33" t="s">
        <v>564</v>
      </c>
      <c r="K299" s="96" t="str">
        <f>IF(ISNUMBER(L299),L299,"")</f>
        <v/>
      </c>
      <c r="L299" s="185"/>
      <c r="M299" s="41" t="s">
        <v>277</v>
      </c>
      <c r="N299" s="41"/>
      <c r="O299" s="265"/>
      <c r="Q299" s="35"/>
      <c r="R299" s="242" t="str">
        <f>IF(AND(ISNUMBER(K299),ISNUMBER(C299)),-K299*C299,"")</f>
        <v/>
      </c>
      <c r="S299" s="102" t="s">
        <v>172</v>
      </c>
      <c r="T299" s="231" t="s">
        <v>383</v>
      </c>
      <c r="U299" s="44"/>
      <c r="V299" s="44"/>
      <c r="W299" s="44"/>
      <c r="X299" s="44"/>
      <c r="Y299" s="44"/>
      <c r="Z299" s="44"/>
      <c r="AA299" s="44"/>
      <c r="AB299" s="44"/>
      <c r="AC299" s="44"/>
      <c r="AD299" s="44"/>
      <c r="AE299" s="36"/>
      <c r="AF299" s="36"/>
      <c r="AG299" s="36"/>
      <c r="AH299" s="36"/>
      <c r="AI299" s="36"/>
      <c r="AJ299" s="36"/>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7" s="31" customFormat="1" ht="15.5" x14ac:dyDescent="0.3">
      <c r="B300" s="136" t="s">
        <v>556</v>
      </c>
      <c r="C300" s="66"/>
      <c r="D300" s="84" t="s">
        <v>52</v>
      </c>
      <c r="G300" s="34"/>
      <c r="H300" s="84"/>
      <c r="J300" s="33" t="s">
        <v>382</v>
      </c>
      <c r="K300" s="138">
        <f>IF(ISNUMBER(L300),L300,Muut!$H$30)</f>
        <v>33.857142857142854</v>
      </c>
      <c r="L300" s="63"/>
      <c r="M300" s="41" t="s">
        <v>277</v>
      </c>
      <c r="N300" s="41"/>
      <c r="O300" s="265"/>
      <c r="Q300" s="35"/>
      <c r="R300" s="242" t="str">
        <f>IF(AND(ISNUMBER(K300),ISNUMBER(C300)),K300*C300,"")</f>
        <v/>
      </c>
      <c r="S300" s="102" t="s">
        <v>172</v>
      </c>
      <c r="T300" s="44"/>
      <c r="U300" s="44"/>
      <c r="V300" s="44"/>
      <c r="W300" s="44"/>
      <c r="X300" s="44"/>
      <c r="Y300" s="44"/>
      <c r="Z300" s="44"/>
      <c r="AA300" s="44"/>
      <c r="AB300" s="44"/>
      <c r="AC300" s="44"/>
      <c r="AD300" s="44"/>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7" s="31" customFormat="1" ht="31" x14ac:dyDescent="0.3">
      <c r="B301" s="170" t="s">
        <v>572</v>
      </c>
      <c r="C301" s="160"/>
      <c r="D301" s="84" t="s">
        <v>8</v>
      </c>
      <c r="G301" s="34"/>
      <c r="H301" s="84"/>
      <c r="J301" s="33" t="s">
        <v>560</v>
      </c>
      <c r="K301" s="96" t="str">
        <f>IF(ISNUMBER(L301),L301,"")</f>
        <v/>
      </c>
      <c r="L301" s="185"/>
      <c r="M301" s="41" t="s">
        <v>277</v>
      </c>
      <c r="N301" s="41"/>
      <c r="O301" s="265"/>
      <c r="Q301" s="35"/>
      <c r="R301" s="242" t="str">
        <f>IF(AND(ISNUMBER(K301),ISNUMBER(C301)),-K301*C301,"")</f>
        <v/>
      </c>
      <c r="S301" s="102" t="s">
        <v>172</v>
      </c>
      <c r="T301" s="231" t="s">
        <v>383</v>
      </c>
      <c r="U301" s="44"/>
      <c r="V301" s="44"/>
      <c r="W301" s="44"/>
      <c r="X301" s="44"/>
      <c r="Y301" s="44"/>
      <c r="Z301" s="44"/>
      <c r="AA301" s="44"/>
      <c r="AB301" s="44"/>
      <c r="AC301" s="44"/>
      <c r="AD301" s="44"/>
      <c r="AE301" s="36"/>
      <c r="AF301" s="36"/>
      <c r="AG301" s="36"/>
      <c r="AH301" s="36"/>
      <c r="AI301" s="36"/>
      <c r="AJ301" s="36"/>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7" s="31" customFormat="1" ht="31" x14ac:dyDescent="0.3">
      <c r="B302" s="170" t="s">
        <v>571</v>
      </c>
      <c r="C302" s="160"/>
      <c r="D302" s="84" t="s">
        <v>8</v>
      </c>
      <c r="E302" s="34"/>
      <c r="F302" s="34"/>
      <c r="G302" s="34"/>
      <c r="H302" s="84"/>
      <c r="J302" s="33" t="s">
        <v>564</v>
      </c>
      <c r="K302" s="96" t="str">
        <f>IF(ISNUMBER(L302),L302,"")</f>
        <v/>
      </c>
      <c r="L302" s="185"/>
      <c r="M302" s="41" t="s">
        <v>277</v>
      </c>
      <c r="N302" s="41"/>
      <c r="O302" s="265"/>
      <c r="Q302" s="35"/>
      <c r="R302" s="242" t="str">
        <f>IF(AND(ISNUMBER(K302),ISNUMBER(C302)),-K302*C302,"")</f>
        <v/>
      </c>
      <c r="S302" s="102" t="s">
        <v>172</v>
      </c>
      <c r="T302" s="231" t="s">
        <v>383</v>
      </c>
      <c r="U302" s="44"/>
      <c r="V302" s="44"/>
      <c r="W302" s="44"/>
      <c r="X302" s="44"/>
      <c r="Y302" s="44"/>
      <c r="Z302" s="44"/>
      <c r="AA302" s="44"/>
      <c r="AB302" s="44"/>
      <c r="AC302" s="44"/>
      <c r="AD302" s="44"/>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7" s="31" customFormat="1" ht="15.5" x14ac:dyDescent="0.3">
      <c r="B303" s="136" t="s">
        <v>557</v>
      </c>
      <c r="C303" s="66"/>
      <c r="D303" s="84" t="s">
        <v>52</v>
      </c>
      <c r="G303" s="34"/>
      <c r="H303" s="84"/>
      <c r="J303" s="33" t="s">
        <v>382</v>
      </c>
      <c r="K303" s="138">
        <f>IF(ISNUMBER(L303),L303,Muut!$H$30)</f>
        <v>33.857142857142854</v>
      </c>
      <c r="L303" s="63"/>
      <c r="M303" s="41" t="s">
        <v>277</v>
      </c>
      <c r="N303" s="41"/>
      <c r="O303" s="265"/>
      <c r="Q303" s="35"/>
      <c r="R303" s="242" t="str">
        <f>IF(AND(ISNUMBER(K303),ISNUMBER(C303)),K303*C303,"")</f>
        <v/>
      </c>
      <c r="S303" s="102" t="s">
        <v>172</v>
      </c>
      <c r="T303" s="44"/>
      <c r="U303" s="44"/>
      <c r="V303" s="44"/>
      <c r="W303" s="44"/>
      <c r="X303" s="44"/>
      <c r="Y303" s="44"/>
      <c r="Z303" s="44"/>
      <c r="AA303" s="44"/>
      <c r="AB303" s="44"/>
      <c r="AC303" s="44"/>
      <c r="AD303" s="44"/>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7" s="31" customFormat="1" ht="31" x14ac:dyDescent="0.3">
      <c r="B304" s="170" t="s">
        <v>572</v>
      </c>
      <c r="C304" s="160"/>
      <c r="D304" s="84" t="s">
        <v>8</v>
      </c>
      <c r="E304" s="34"/>
      <c r="F304" s="34"/>
      <c r="G304" s="34"/>
      <c r="H304" s="84"/>
      <c r="J304" s="33" t="s">
        <v>560</v>
      </c>
      <c r="K304" s="96" t="str">
        <f>IF(ISNUMBER(L304),L304,"")</f>
        <v/>
      </c>
      <c r="L304" s="185"/>
      <c r="M304" s="41" t="s">
        <v>277</v>
      </c>
      <c r="N304" s="41"/>
      <c r="O304" s="265"/>
      <c r="Q304" s="35"/>
      <c r="R304" s="242" t="str">
        <f>IF(AND(ISNUMBER(K304),ISNUMBER(C304)),-K304*C304,"")</f>
        <v/>
      </c>
      <c r="S304" s="102" t="s">
        <v>172</v>
      </c>
      <c r="T304" s="231" t="s">
        <v>383</v>
      </c>
      <c r="U304" s="44"/>
      <c r="V304" s="44"/>
      <c r="W304" s="44"/>
      <c r="X304" s="44"/>
      <c r="Y304" s="44"/>
      <c r="Z304" s="44"/>
      <c r="AA304" s="44"/>
      <c r="AB304" s="44"/>
      <c r="AC304" s="44"/>
      <c r="AD304" s="44"/>
      <c r="AE304" s="36"/>
      <c r="AF304" s="36"/>
      <c r="AG304" s="36"/>
      <c r="AH304" s="36"/>
      <c r="AI304" s="36"/>
      <c r="AJ304" s="36"/>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9" s="31" customFormat="1" ht="31" x14ac:dyDescent="0.3">
      <c r="B305" s="170" t="s">
        <v>571</v>
      </c>
      <c r="C305" s="160"/>
      <c r="D305" s="84" t="s">
        <v>8</v>
      </c>
      <c r="E305" s="34"/>
      <c r="F305" s="34"/>
      <c r="G305" s="34"/>
      <c r="H305" s="84"/>
      <c r="J305" s="33" t="s">
        <v>564</v>
      </c>
      <c r="K305" s="96" t="str">
        <f>IF(ISNUMBER(L305),L305,"")</f>
        <v/>
      </c>
      <c r="L305" s="185"/>
      <c r="M305" s="41" t="s">
        <v>277</v>
      </c>
      <c r="N305" s="41"/>
      <c r="O305" s="265"/>
      <c r="Q305" s="35"/>
      <c r="R305" s="242" t="str">
        <f>IF(AND(ISNUMBER(K305),ISNUMBER(C305)),-K305*C305,"")</f>
        <v/>
      </c>
      <c r="S305" s="102" t="s">
        <v>172</v>
      </c>
      <c r="T305" s="231" t="s">
        <v>383</v>
      </c>
      <c r="U305" s="44"/>
      <c r="V305" s="44"/>
      <c r="W305" s="44"/>
      <c r="X305" s="44"/>
      <c r="Y305" s="44"/>
      <c r="Z305" s="44"/>
      <c r="AA305" s="44"/>
      <c r="AB305" s="44"/>
      <c r="AC305" s="44"/>
      <c r="AD305" s="44"/>
      <c r="AE305" s="36"/>
      <c r="AF305" s="36"/>
      <c r="AG305" s="36"/>
      <c r="AH305" s="36"/>
      <c r="AI305" s="36"/>
      <c r="AJ305" s="36"/>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9" s="31" customFormat="1" ht="15.5" x14ac:dyDescent="0.3">
      <c r="B306" s="136" t="s">
        <v>558</v>
      </c>
      <c r="C306" s="66"/>
      <c r="D306" s="84" t="s">
        <v>52</v>
      </c>
      <c r="G306" s="34"/>
      <c r="H306" s="84"/>
      <c r="J306" s="33" t="s">
        <v>382</v>
      </c>
      <c r="K306" s="138">
        <f>IF(ISNUMBER(L306),L306,Muut!$H$30)</f>
        <v>33.857142857142854</v>
      </c>
      <c r="L306" s="63"/>
      <c r="M306" s="41" t="s">
        <v>277</v>
      </c>
      <c r="N306" s="41"/>
      <c r="O306" s="265"/>
      <c r="Q306" s="35"/>
      <c r="R306" s="242" t="str">
        <f>IF(AND(ISNUMBER(K306),ISNUMBER(C306)),K306*C306,"")</f>
        <v/>
      </c>
      <c r="S306" s="102" t="s">
        <v>172</v>
      </c>
      <c r="T306" s="44"/>
      <c r="U306" s="44"/>
      <c r="V306" s="44"/>
      <c r="W306" s="44"/>
      <c r="X306" s="44"/>
      <c r="Y306" s="44"/>
      <c r="Z306" s="44"/>
      <c r="AA306" s="44"/>
      <c r="AB306" s="44"/>
      <c r="AC306" s="44"/>
      <c r="AD306" s="44"/>
      <c r="AE306" s="36"/>
      <c r="AF306" s="36"/>
      <c r="AG306" s="36"/>
      <c r="AH306" s="36"/>
      <c r="AI306" s="36"/>
      <c r="AJ306" s="36"/>
      <c r="AK306" s="36"/>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9" s="31" customFormat="1" ht="31" x14ac:dyDescent="0.3">
      <c r="B307" s="170" t="s">
        <v>572</v>
      </c>
      <c r="C307" s="160"/>
      <c r="D307" s="84" t="s">
        <v>8</v>
      </c>
      <c r="E307" s="34"/>
      <c r="F307" s="34"/>
      <c r="G307" s="34"/>
      <c r="H307" s="84"/>
      <c r="J307" s="33" t="s">
        <v>560</v>
      </c>
      <c r="K307" s="96" t="str">
        <f>IF(ISNUMBER(L307),L307,"")</f>
        <v/>
      </c>
      <c r="L307" s="185"/>
      <c r="M307" s="41" t="s">
        <v>277</v>
      </c>
      <c r="N307" s="41"/>
      <c r="O307" s="265"/>
      <c r="Q307" s="35"/>
      <c r="R307" s="242" t="str">
        <f>IF(AND(ISNUMBER(K307),ISNUMBER(C307)),-K307*C307,"")</f>
        <v/>
      </c>
      <c r="S307" s="102" t="s">
        <v>172</v>
      </c>
      <c r="T307" s="231" t="s">
        <v>383</v>
      </c>
      <c r="U307" s="44"/>
      <c r="V307" s="44"/>
      <c r="W307" s="44"/>
      <c r="X307" s="44"/>
      <c r="Y307" s="44"/>
      <c r="Z307" s="44"/>
      <c r="AA307" s="44"/>
      <c r="AB307" s="44"/>
      <c r="AC307" s="44"/>
      <c r="AD307" s="44"/>
      <c r="AE307" s="36"/>
      <c r="AF307" s="36"/>
      <c r="AG307" s="36"/>
      <c r="AH307" s="36"/>
      <c r="AI307" s="36"/>
      <c r="AJ307" s="36"/>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9" s="31" customFormat="1" ht="31" x14ac:dyDescent="0.3">
      <c r="B308" s="170" t="s">
        <v>571</v>
      </c>
      <c r="C308" s="160"/>
      <c r="D308" s="84" t="s">
        <v>8</v>
      </c>
      <c r="E308" s="34"/>
      <c r="F308" s="34"/>
      <c r="G308" s="34"/>
      <c r="H308" s="84"/>
      <c r="J308" s="33" t="s">
        <v>564</v>
      </c>
      <c r="K308" s="96" t="str">
        <f>IF(ISNUMBER(L308),L308,"")</f>
        <v/>
      </c>
      <c r="L308" s="185"/>
      <c r="M308" s="41" t="s">
        <v>277</v>
      </c>
      <c r="N308" s="41"/>
      <c r="O308" s="265"/>
      <c r="Q308" s="35"/>
      <c r="R308" s="242" t="str">
        <f>IF(AND(ISNUMBER(K308),ISNUMBER(C308)),-K308*C308,"")</f>
        <v/>
      </c>
      <c r="S308" s="102" t="s">
        <v>172</v>
      </c>
      <c r="T308" s="231" t="s">
        <v>383</v>
      </c>
      <c r="U308" s="44"/>
      <c r="V308" s="44"/>
      <c r="W308" s="44"/>
      <c r="X308" s="44"/>
      <c r="Y308" s="44"/>
      <c r="Z308" s="44"/>
      <c r="AA308" s="44"/>
      <c r="AB308" s="44"/>
      <c r="AC308" s="44"/>
      <c r="AD308" s="44"/>
      <c r="AE308" s="36"/>
      <c r="AF308" s="36"/>
      <c r="AG308" s="36"/>
      <c r="AH308" s="36"/>
      <c r="AI308" s="36"/>
      <c r="AJ308" s="36"/>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9" s="31" customFormat="1" ht="15.5" x14ac:dyDescent="0.3">
      <c r="B309" s="136" t="s">
        <v>559</v>
      </c>
      <c r="C309" s="66"/>
      <c r="D309" s="84" t="s">
        <v>52</v>
      </c>
      <c r="G309" s="34"/>
      <c r="H309" s="84"/>
      <c r="J309" s="33" t="s">
        <v>382</v>
      </c>
      <c r="K309" s="138">
        <f>IF(ISNUMBER(L309),L309,Muut!$H$30)</f>
        <v>33.857142857142854</v>
      </c>
      <c r="L309" s="63"/>
      <c r="M309" s="41" t="s">
        <v>277</v>
      </c>
      <c r="N309" s="41"/>
      <c r="O309" s="265"/>
      <c r="Q309" s="35"/>
      <c r="R309" s="242" t="str">
        <f>IF(AND(ISNUMBER(K309),ISNUMBER(C309)),K309*C309,"")</f>
        <v/>
      </c>
      <c r="S309" s="102" t="s">
        <v>172</v>
      </c>
      <c r="T309" s="44"/>
      <c r="U309" s="44"/>
      <c r="V309" s="44"/>
      <c r="W309" s="44"/>
      <c r="X309" s="44"/>
      <c r="Y309" s="44"/>
      <c r="Z309" s="44"/>
      <c r="AA309" s="44"/>
      <c r="AB309" s="44"/>
      <c r="AC309" s="44"/>
      <c r="AD309" s="44"/>
      <c r="AE309" s="36"/>
      <c r="AF309" s="36"/>
      <c r="AG309" s="36"/>
      <c r="AH309" s="36"/>
      <c r="AI309" s="36"/>
      <c r="AJ309" s="36"/>
      <c r="AK309" s="36"/>
      <c r="AL309" s="36"/>
      <c r="AM309" s="36"/>
      <c r="AN309" s="37"/>
      <c r="AO309" s="37"/>
      <c r="AP309" s="37"/>
      <c r="AQ309" s="37"/>
      <c r="AR309" s="37"/>
      <c r="AS309" s="37"/>
      <c r="AT309" s="37"/>
      <c r="AU309" s="37"/>
      <c r="AV309" s="37"/>
      <c r="AW309" s="37"/>
      <c r="AX309" s="37"/>
      <c r="AY309" s="37"/>
      <c r="AZ309" s="37"/>
      <c r="BA309" s="37"/>
      <c r="BB309" s="37"/>
      <c r="BC309" s="37"/>
      <c r="BD309" s="37"/>
      <c r="BE309" s="37"/>
    </row>
    <row r="310" spans="2:59" s="31" customFormat="1" ht="31" x14ac:dyDescent="0.3">
      <c r="B310" s="170" t="s">
        <v>572</v>
      </c>
      <c r="C310" s="160"/>
      <c r="D310" s="84" t="s">
        <v>8</v>
      </c>
      <c r="E310" s="34"/>
      <c r="F310" s="34"/>
      <c r="G310" s="34"/>
      <c r="H310" s="84"/>
      <c r="J310" s="33" t="s">
        <v>560</v>
      </c>
      <c r="K310" s="96" t="str">
        <f>IF(ISNUMBER(L310),L310,"")</f>
        <v/>
      </c>
      <c r="L310" s="185"/>
      <c r="M310" s="41" t="s">
        <v>277</v>
      </c>
      <c r="N310" s="41"/>
      <c r="O310" s="265"/>
      <c r="Q310" s="35"/>
      <c r="R310" s="242" t="str">
        <f>IF(AND(ISNUMBER(K310),ISNUMBER(C310)),-K310*C310,"")</f>
        <v/>
      </c>
      <c r="S310" s="102" t="s">
        <v>172</v>
      </c>
      <c r="T310" s="231" t="s">
        <v>383</v>
      </c>
      <c r="U310" s="44"/>
      <c r="V310" s="44"/>
      <c r="W310" s="44"/>
      <c r="X310" s="44"/>
      <c r="Y310" s="44"/>
      <c r="Z310" s="44"/>
      <c r="AA310" s="44"/>
      <c r="AB310" s="44"/>
      <c r="AC310" s="44"/>
      <c r="AD310" s="44"/>
      <c r="AE310" s="36"/>
      <c r="AF310" s="36"/>
      <c r="AG310" s="36"/>
      <c r="AH310" s="36"/>
      <c r="AI310" s="36"/>
      <c r="AJ310" s="36"/>
      <c r="AK310" s="36"/>
      <c r="AL310" s="36"/>
      <c r="AM310" s="36"/>
      <c r="AN310" s="37"/>
      <c r="AO310" s="37"/>
      <c r="AP310" s="37"/>
      <c r="AQ310" s="37"/>
      <c r="AR310" s="37"/>
      <c r="AS310" s="37"/>
      <c r="AT310" s="37"/>
      <c r="AU310" s="37"/>
      <c r="AV310" s="37"/>
      <c r="AW310" s="37"/>
      <c r="AX310" s="37"/>
      <c r="AY310" s="37"/>
      <c r="AZ310" s="37"/>
      <c r="BA310" s="37"/>
      <c r="BB310" s="37"/>
      <c r="BC310" s="37"/>
      <c r="BD310" s="37"/>
      <c r="BE310" s="37"/>
    </row>
    <row r="311" spans="2:59" s="31" customFormat="1" ht="31" x14ac:dyDescent="0.3">
      <c r="B311" s="170" t="s">
        <v>571</v>
      </c>
      <c r="C311" s="160"/>
      <c r="D311" s="84" t="s">
        <v>8</v>
      </c>
      <c r="E311" s="34"/>
      <c r="F311" s="34"/>
      <c r="G311" s="34"/>
      <c r="H311" s="84"/>
      <c r="J311" s="33" t="s">
        <v>564</v>
      </c>
      <c r="K311" s="96" t="str">
        <f>IF(ISNUMBER(L311),L311,"")</f>
        <v/>
      </c>
      <c r="L311" s="185"/>
      <c r="M311" s="41" t="s">
        <v>277</v>
      </c>
      <c r="N311" s="41"/>
      <c r="O311" s="265"/>
      <c r="Q311" s="35"/>
      <c r="R311" s="242" t="str">
        <f>IF(AND(ISNUMBER(K311),ISNUMBER(C311)),-K311*C311,"")</f>
        <v/>
      </c>
      <c r="S311" s="102" t="s">
        <v>172</v>
      </c>
      <c r="T311" s="231" t="s">
        <v>383</v>
      </c>
      <c r="U311" s="44"/>
      <c r="V311" s="44"/>
      <c r="W311" s="44"/>
      <c r="X311" s="44"/>
      <c r="Y311" s="44"/>
      <c r="Z311" s="44"/>
      <c r="AA311" s="44"/>
      <c r="AB311" s="44"/>
      <c r="AC311" s="44"/>
      <c r="AD311" s="44"/>
      <c r="AE311" s="36"/>
      <c r="AF311" s="36"/>
      <c r="AG311" s="36"/>
      <c r="AH311" s="36"/>
      <c r="AI311" s="36"/>
      <c r="AJ311" s="36"/>
      <c r="AK311" s="36"/>
      <c r="AL311" s="36"/>
      <c r="AM311" s="36"/>
      <c r="AN311" s="37"/>
      <c r="AO311" s="37"/>
      <c r="AP311" s="37"/>
      <c r="AQ311" s="37"/>
      <c r="AR311" s="37"/>
      <c r="AS311" s="37"/>
      <c r="AT311" s="37"/>
      <c r="AU311" s="37"/>
      <c r="AV311" s="37"/>
      <c r="AW311" s="37"/>
      <c r="AX311" s="37"/>
      <c r="AY311" s="37"/>
      <c r="AZ311" s="37"/>
      <c r="BA311" s="37"/>
      <c r="BB311" s="37"/>
      <c r="BC311" s="37"/>
      <c r="BD311" s="37"/>
      <c r="BE311" s="37"/>
    </row>
    <row r="312" spans="2:59" s="31" customFormat="1" ht="15.5" x14ac:dyDescent="0.3">
      <c r="C312" s="34"/>
      <c r="D312" s="84"/>
      <c r="G312" s="34"/>
      <c r="H312" s="84"/>
      <c r="J312" s="33"/>
      <c r="K312" s="34"/>
      <c r="L312" s="34"/>
      <c r="M312" s="84"/>
      <c r="N312" s="84"/>
      <c r="O312" s="100"/>
      <c r="Q312" s="35"/>
      <c r="R312" s="44"/>
      <c r="S312" s="36"/>
      <c r="T312" s="44"/>
      <c r="U312" s="44"/>
      <c r="V312" s="44"/>
      <c r="W312" s="44"/>
      <c r="X312" s="44"/>
      <c r="Y312" s="44"/>
      <c r="Z312" s="44"/>
      <c r="AA312" s="44"/>
      <c r="AB312" s="44"/>
      <c r="AC312" s="44"/>
      <c r="AD312" s="44"/>
      <c r="AE312" s="36"/>
      <c r="AF312" s="36"/>
      <c r="AG312" s="36"/>
      <c r="AH312" s="36"/>
      <c r="AI312" s="36"/>
      <c r="AJ312" s="36"/>
      <c r="AK312" s="36"/>
      <c r="AL312" s="36"/>
      <c r="AM312" s="36"/>
      <c r="AN312" s="37"/>
      <c r="AO312" s="37"/>
      <c r="AP312" s="37"/>
      <c r="AQ312" s="37"/>
      <c r="AR312" s="37"/>
      <c r="AS312" s="37"/>
      <c r="AT312" s="37"/>
      <c r="AU312" s="37"/>
      <c r="AV312" s="37"/>
      <c r="AW312" s="37"/>
      <c r="AX312" s="37"/>
      <c r="AY312" s="37"/>
      <c r="AZ312" s="37"/>
      <c r="BA312" s="37"/>
      <c r="BB312" s="37"/>
      <c r="BC312" s="37"/>
      <c r="BD312" s="37"/>
      <c r="BE312" s="37"/>
    </row>
    <row r="313" spans="2:59" s="31" customFormat="1" ht="15.5" x14ac:dyDescent="0.3">
      <c r="B313" s="9" t="s">
        <v>11</v>
      </c>
      <c r="C313" s="34"/>
      <c r="D313" s="84"/>
      <c r="G313" s="34"/>
      <c r="H313" s="84"/>
      <c r="J313" s="33"/>
      <c r="K313" s="38"/>
      <c r="L313" s="38"/>
      <c r="M313" s="84"/>
      <c r="N313" s="84"/>
      <c r="O313" s="100"/>
      <c r="Q313" s="35"/>
      <c r="R313" s="44"/>
      <c r="S313" s="36"/>
      <c r="T313" s="44"/>
      <c r="U313" s="44"/>
      <c r="V313" s="44"/>
      <c r="W313" s="44"/>
      <c r="X313" s="44"/>
      <c r="Y313" s="44"/>
      <c r="Z313" s="44"/>
      <c r="AA313" s="44"/>
      <c r="AB313" s="44"/>
      <c r="AC313" s="44"/>
      <c r="AD313" s="44"/>
      <c r="AE313" s="36"/>
      <c r="AF313" s="36"/>
      <c r="AG313" s="36"/>
      <c r="AH313" s="36"/>
      <c r="AI313" s="36"/>
      <c r="AJ313" s="36"/>
      <c r="AK313" s="36"/>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9" s="31" customFormat="1" ht="15.5" x14ac:dyDescent="0.3">
      <c r="B314" s="9"/>
      <c r="C314" s="34"/>
      <c r="D314" s="84"/>
      <c r="G314" s="34"/>
      <c r="H314" s="84"/>
      <c r="J314" s="33"/>
      <c r="K314" s="38" t="s">
        <v>329</v>
      </c>
      <c r="L314" s="38" t="s">
        <v>201</v>
      </c>
      <c r="M314" s="84"/>
      <c r="N314" s="84"/>
      <c r="O314" s="100"/>
      <c r="Q314" s="35"/>
      <c r="R314" s="44" t="s">
        <v>350</v>
      </c>
      <c r="S314" s="36"/>
      <c r="T314" s="44"/>
      <c r="U314" s="44"/>
      <c r="V314" s="44"/>
      <c r="W314" s="44"/>
      <c r="X314" s="44"/>
      <c r="Y314" s="44"/>
      <c r="Z314" s="44"/>
      <c r="AA314" s="44"/>
      <c r="AB314" s="44"/>
      <c r="AC314" s="44"/>
      <c r="AD314" s="44"/>
      <c r="AE314" s="36"/>
      <c r="AF314" s="36"/>
      <c r="AG314" s="36"/>
      <c r="AH314" s="36"/>
      <c r="AI314" s="36"/>
      <c r="AJ314" s="36"/>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9" s="31" customFormat="1" ht="31" x14ac:dyDescent="0.3">
      <c r="B315" s="78" t="s">
        <v>515</v>
      </c>
      <c r="C315" s="160"/>
      <c r="D315" s="84" t="s">
        <v>175</v>
      </c>
      <c r="G315" s="34"/>
      <c r="H315" s="84"/>
      <c r="J315" s="33" t="s">
        <v>565</v>
      </c>
      <c r="K315" s="96">
        <f>IF(ISNUMBER(L315),L315,Muut!$H$28*IF(OR(C316=Pudotusvalikot!$V$3,C316=Pudotusvalikot!$V$4),Muut!$E$38,IF(C316=Pudotusvalikot!$V$5,Muut!$E$39,IF(C316=Pudotusvalikot!$V$6,Muut!$E$40,Muut!$E$41))))</f>
        <v>0.22753333333333334</v>
      </c>
      <c r="L315" s="63"/>
      <c r="M315" s="41" t="s">
        <v>226</v>
      </c>
      <c r="N315" s="41"/>
      <c r="O315" s="265"/>
      <c r="Q315" s="35"/>
      <c r="R315" s="242" t="str">
        <f>IF(AND(ISNUMBER(K315),ISNUMBER(C315)),K315*C315,"")</f>
        <v/>
      </c>
      <c r="S315" s="102" t="s">
        <v>172</v>
      </c>
      <c r="T315" s="221"/>
      <c r="U315" s="221"/>
      <c r="V315" s="221"/>
      <c r="W315" s="44"/>
      <c r="X315" s="44"/>
      <c r="Y315" s="44"/>
      <c r="Z315" s="44"/>
      <c r="AA315" s="44"/>
      <c r="AB315" s="44"/>
      <c r="AC315" s="44"/>
      <c r="AD315" s="44"/>
      <c r="AE315" s="36"/>
      <c r="AF315" s="36"/>
      <c r="AG315" s="36"/>
      <c r="AH315" s="36"/>
      <c r="AI315" s="36"/>
      <c r="AJ315" s="36"/>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9" s="31" customFormat="1" ht="15.5" x14ac:dyDescent="0.3">
      <c r="B316" s="170" t="s">
        <v>509</v>
      </c>
      <c r="C316" s="160" t="s">
        <v>242</v>
      </c>
      <c r="D316" s="34"/>
      <c r="E316" s="34"/>
      <c r="F316" s="34"/>
      <c r="G316" s="34"/>
      <c r="H316" s="59"/>
      <c r="J316" s="173"/>
      <c r="K316" s="173"/>
      <c r="L316" s="173"/>
      <c r="M316" s="41"/>
      <c r="N316" s="41"/>
      <c r="O316" s="265"/>
      <c r="Q316" s="47"/>
      <c r="R316" s="221"/>
      <c r="S316" s="102"/>
      <c r="T316" s="44"/>
      <c r="U316" s="44"/>
      <c r="V316" s="220"/>
      <c r="W316" s="220"/>
      <c r="X316" s="221"/>
      <c r="Y316" s="44"/>
      <c r="Z316" s="221"/>
      <c r="AA316" s="222"/>
      <c r="AB316" s="221"/>
      <c r="AC316" s="221"/>
      <c r="AD316" s="221"/>
      <c r="AE316" s="61"/>
      <c r="AF316" s="182"/>
      <c r="AG316" s="61"/>
      <c r="AH316" s="36"/>
      <c r="AI316" s="36"/>
      <c r="AJ316" s="36"/>
      <c r="AK316" s="108"/>
      <c r="AL316" s="36"/>
      <c r="AM316" s="36"/>
      <c r="AN316" s="37"/>
      <c r="AO316" s="37"/>
      <c r="AP316" s="37"/>
      <c r="AQ316" s="37"/>
      <c r="AR316" s="37"/>
      <c r="AS316" s="37"/>
      <c r="AT316" s="37"/>
      <c r="AU316" s="37"/>
      <c r="AV316" s="37"/>
      <c r="AW316" s="37"/>
      <c r="AX316" s="37"/>
      <c r="AY316" s="37"/>
      <c r="AZ316" s="37"/>
      <c r="BA316" s="37"/>
      <c r="BB316" s="37"/>
      <c r="BC316" s="37"/>
      <c r="BD316" s="37"/>
      <c r="BE316" s="37"/>
    </row>
    <row r="317" spans="2:59" s="31" customFormat="1" ht="46.5" x14ac:dyDescent="0.3">
      <c r="B317" s="78" t="s">
        <v>596</v>
      </c>
      <c r="C317" s="160"/>
      <c r="D317" s="84" t="s">
        <v>175</v>
      </c>
      <c r="G317" s="34"/>
      <c r="H317" s="84"/>
      <c r="J317" s="33" t="s">
        <v>522</v>
      </c>
      <c r="K317" s="138">
        <f>IF(ISNUMBER(L317),L317,Muut!$H$29)</f>
        <v>9.4500000000000011</v>
      </c>
      <c r="L317" s="185"/>
      <c r="M317" s="41" t="s">
        <v>226</v>
      </c>
      <c r="N317" s="41"/>
      <c r="O317" s="265"/>
      <c r="Q317" s="35"/>
      <c r="R317" s="242" t="str">
        <f>IF(AND(ISNUMBER(K317),ISNUMBER(C317)),K317*C317,"")</f>
        <v/>
      </c>
      <c r="S317" s="102" t="s">
        <v>172</v>
      </c>
      <c r="T317" s="44"/>
      <c r="U317" s="44"/>
      <c r="V317" s="44"/>
      <c r="W317" s="44"/>
      <c r="X317" s="44"/>
      <c r="Y317" s="44"/>
      <c r="Z317" s="44"/>
      <c r="AA317" s="44"/>
      <c r="AB317" s="44"/>
      <c r="AC317" s="44"/>
      <c r="AD317" s="44"/>
      <c r="AE317" s="36"/>
      <c r="AF317" s="36"/>
      <c r="AG317" s="36"/>
      <c r="AH317" s="36"/>
      <c r="AI317" s="36"/>
      <c r="AJ317" s="36"/>
      <c r="AK317" s="36"/>
      <c r="AL317" s="36"/>
      <c r="AM317" s="36"/>
      <c r="AN317" s="37"/>
      <c r="AO317" s="37"/>
      <c r="AP317" s="37"/>
      <c r="AQ317" s="37"/>
      <c r="AR317" s="37"/>
      <c r="AS317" s="37"/>
      <c r="AT317" s="37"/>
      <c r="AU317" s="37"/>
      <c r="AV317" s="37"/>
      <c r="AW317" s="37"/>
      <c r="AX317" s="37"/>
      <c r="AY317" s="37"/>
      <c r="AZ317" s="37"/>
      <c r="BA317" s="37"/>
      <c r="BB317" s="37"/>
      <c r="BC317" s="37"/>
      <c r="BD317" s="37"/>
      <c r="BE317" s="37"/>
    </row>
    <row r="318" spans="2:59" s="31" customFormat="1" ht="46.5" x14ac:dyDescent="0.3">
      <c r="B318" s="170" t="s">
        <v>572</v>
      </c>
      <c r="C318" s="160"/>
      <c r="D318" s="84" t="s">
        <v>8</v>
      </c>
      <c r="E318" s="34"/>
      <c r="F318" s="34"/>
      <c r="G318" s="34"/>
      <c r="H318" s="84"/>
      <c r="J318" s="33" t="s">
        <v>523</v>
      </c>
      <c r="K318" s="112">
        <f>IF(ISNUMBER(L318),L318,Muut!$H$31)</f>
        <v>9.4500000000000011</v>
      </c>
      <c r="L318" s="185"/>
      <c r="M318" s="41" t="s">
        <v>226</v>
      </c>
      <c r="N318" s="41"/>
      <c r="O318" s="265"/>
      <c r="Q318" s="35"/>
      <c r="R318" s="242" t="str">
        <f>IF(AND(ISNUMBER(K318),ISNUMBER(C317)),-K318*C317,"")</f>
        <v/>
      </c>
      <c r="S318" s="102" t="s">
        <v>172</v>
      </c>
      <c r="T318" s="232" t="s">
        <v>524</v>
      </c>
      <c r="U318" s="44"/>
      <c r="V318" s="44"/>
      <c r="W318" s="44"/>
      <c r="X318" s="44"/>
      <c r="Y318" s="44"/>
      <c r="Z318" s="44"/>
      <c r="AA318" s="44"/>
      <c r="AB318" s="44"/>
      <c r="AC318" s="44"/>
      <c r="AD318" s="44"/>
      <c r="AE318" s="36"/>
      <c r="AF318" s="36"/>
      <c r="AG318" s="36"/>
      <c r="AH318" s="36"/>
      <c r="AI318" s="36"/>
      <c r="AJ318" s="36"/>
      <c r="AK318" s="36"/>
      <c r="AL318" s="36"/>
      <c r="AM318" s="36"/>
      <c r="AN318" s="37"/>
      <c r="AO318" s="37"/>
      <c r="AP318" s="37"/>
      <c r="AQ318" s="37"/>
      <c r="AR318" s="37"/>
      <c r="AS318" s="37"/>
      <c r="AT318" s="37"/>
      <c r="AU318" s="37"/>
      <c r="AV318" s="37"/>
      <c r="AW318" s="37"/>
      <c r="AX318" s="37"/>
      <c r="AY318" s="37"/>
      <c r="AZ318" s="37"/>
      <c r="BA318" s="37"/>
      <c r="BB318" s="37"/>
      <c r="BC318" s="37"/>
      <c r="BD318" s="37"/>
      <c r="BE318" s="37"/>
    </row>
    <row r="319" spans="2:59" s="31" customFormat="1" ht="15.5" x14ac:dyDescent="0.3">
      <c r="B319" s="75"/>
      <c r="C319" s="34"/>
      <c r="D319" s="84"/>
      <c r="G319" s="34"/>
      <c r="H319" s="84"/>
      <c r="J319" s="33"/>
      <c r="O319" s="259"/>
      <c r="P319" s="69"/>
      <c r="Q319" s="108"/>
      <c r="R319" s="243"/>
      <c r="S319" s="108"/>
      <c r="T319" s="174"/>
      <c r="U319" s="44"/>
      <c r="V319" s="44"/>
      <c r="W319" s="44"/>
      <c r="X319" s="44"/>
      <c r="Y319" s="44"/>
      <c r="Z319" s="44"/>
      <c r="AA319" s="44"/>
      <c r="AB319" s="44"/>
      <c r="AC319" s="44"/>
      <c r="AD319" s="44"/>
      <c r="AE319" s="36"/>
      <c r="AF319" s="36"/>
      <c r="AG319" s="36"/>
      <c r="AH319" s="36"/>
      <c r="AI319" s="36"/>
      <c r="AJ319" s="36"/>
      <c r="AK319" s="36"/>
      <c r="AL319" s="36"/>
      <c r="AM319" s="36"/>
      <c r="AN319" s="36"/>
      <c r="AO319" s="36"/>
      <c r="AP319" s="37"/>
      <c r="AQ319" s="37"/>
      <c r="AR319" s="37"/>
      <c r="AS319" s="37"/>
      <c r="AT319" s="37"/>
      <c r="AU319" s="37"/>
      <c r="AV319" s="37"/>
      <c r="AW319" s="37"/>
      <c r="AX319" s="37"/>
      <c r="AY319" s="37"/>
      <c r="AZ319" s="37"/>
      <c r="BA319" s="37"/>
      <c r="BB319" s="37"/>
      <c r="BC319" s="37"/>
      <c r="BD319" s="37"/>
      <c r="BE319" s="37"/>
      <c r="BF319" s="37"/>
      <c r="BG319" s="37"/>
    </row>
    <row r="320" spans="2:59" s="196" customFormat="1" ht="23" x14ac:dyDescent="0.3">
      <c r="B320" s="197" t="s">
        <v>652</v>
      </c>
      <c r="C320" s="198"/>
      <c r="D320" s="199"/>
      <c r="G320" s="198"/>
      <c r="H320" s="199"/>
      <c r="J320" s="200"/>
      <c r="O320" s="270"/>
      <c r="P320" s="201"/>
      <c r="Q320" s="202"/>
      <c r="R320" s="237"/>
      <c r="S320" s="202"/>
      <c r="T320" s="214"/>
      <c r="U320" s="215"/>
      <c r="V320" s="215"/>
      <c r="W320" s="215"/>
      <c r="X320" s="215"/>
      <c r="Y320" s="215"/>
      <c r="Z320" s="215"/>
      <c r="AA320" s="215"/>
      <c r="AB320" s="215"/>
      <c r="AC320" s="215"/>
      <c r="AD320" s="215"/>
      <c r="AE320" s="205"/>
      <c r="AF320" s="205"/>
      <c r="AG320" s="205"/>
      <c r="AH320" s="205"/>
      <c r="AI320" s="205"/>
      <c r="AJ320" s="205"/>
      <c r="AK320" s="205"/>
      <c r="AL320" s="205"/>
      <c r="AM320" s="205"/>
      <c r="AN320" s="205"/>
      <c r="AO320" s="205"/>
      <c r="AP320" s="204"/>
      <c r="AQ320" s="204"/>
      <c r="AR320" s="204"/>
      <c r="AS320" s="204"/>
      <c r="AT320" s="204"/>
      <c r="AU320" s="204"/>
      <c r="AV320" s="204"/>
      <c r="AW320" s="204"/>
      <c r="AX320" s="204"/>
      <c r="AY320" s="204"/>
      <c r="AZ320" s="204"/>
      <c r="BA320" s="204"/>
      <c r="BB320" s="204"/>
      <c r="BC320" s="204"/>
      <c r="BD320" s="204"/>
      <c r="BE320" s="204"/>
      <c r="BF320" s="204"/>
      <c r="BG320" s="204"/>
    </row>
    <row r="321" spans="2:59" s="31" customFormat="1" ht="15.5" x14ac:dyDescent="0.3">
      <c r="C321" s="34"/>
      <c r="D321" s="84"/>
      <c r="G321" s="34"/>
      <c r="H321" s="84"/>
      <c r="P321" s="69"/>
      <c r="Q321" s="108"/>
      <c r="R321" s="243"/>
      <c r="S321" s="108"/>
      <c r="T321" s="174"/>
      <c r="U321" s="44"/>
      <c r="V321" s="44"/>
      <c r="W321" s="44"/>
      <c r="X321" s="44"/>
      <c r="Y321" s="44"/>
      <c r="Z321" s="44"/>
      <c r="AA321" s="44"/>
      <c r="AB321" s="44"/>
      <c r="AC321" s="44"/>
      <c r="AD321" s="44"/>
      <c r="AE321" s="36"/>
      <c r="AF321" s="36"/>
      <c r="AG321" s="36"/>
      <c r="AH321" s="36"/>
      <c r="AI321" s="36"/>
      <c r="AJ321" s="36"/>
      <c r="AK321" s="36"/>
      <c r="AL321" s="36"/>
      <c r="AM321" s="36"/>
      <c r="AN321" s="36"/>
      <c r="AO321" s="36"/>
      <c r="AP321" s="37"/>
      <c r="AQ321" s="37"/>
      <c r="AR321" s="37"/>
      <c r="AS321" s="37"/>
      <c r="AT321" s="37"/>
      <c r="AU321" s="37"/>
      <c r="AV321" s="37"/>
      <c r="AW321" s="37"/>
      <c r="AX321" s="37"/>
      <c r="AY321" s="37"/>
      <c r="AZ321" s="37"/>
      <c r="BA321" s="37"/>
      <c r="BB321" s="37"/>
      <c r="BC321" s="37"/>
      <c r="BD321" s="37"/>
      <c r="BE321" s="37"/>
      <c r="BF321" s="37"/>
      <c r="BG321" s="37"/>
    </row>
    <row r="322" spans="2:59" s="298" customFormat="1" ht="18" x14ac:dyDescent="0.3">
      <c r="B322" s="295" t="s">
        <v>628</v>
      </c>
      <c r="C322" s="296"/>
      <c r="D322" s="297"/>
      <c r="G322" s="296"/>
      <c r="H322" s="297"/>
      <c r="K322" s="296"/>
      <c r="L322" s="296"/>
      <c r="M322" s="297"/>
      <c r="N322" s="297"/>
      <c r="O322" s="300"/>
      <c r="P322" s="320"/>
      <c r="Q322" s="304"/>
      <c r="R322" s="298" t="str">
        <f>IF(OR(ISNUMBER(#REF!),ISNUMBER(#REF!),ISNUMBER(#REF!)),SUM(#REF!,#REF!,#REF!),"")</f>
        <v/>
      </c>
      <c r="S322" s="303"/>
      <c r="T322" s="303"/>
      <c r="U322" s="303"/>
      <c r="V322" s="303"/>
      <c r="W322" s="303"/>
      <c r="X322" s="303"/>
      <c r="Y322" s="303"/>
      <c r="Z322" s="303"/>
      <c r="AA322" s="303"/>
      <c r="AB322" s="303"/>
      <c r="AC322" s="303"/>
      <c r="AD322" s="303"/>
      <c r="AE322" s="303"/>
      <c r="AF322" s="303"/>
      <c r="AG322" s="303"/>
      <c r="AH322" s="303"/>
      <c r="AI322" s="303"/>
      <c r="AJ322" s="303"/>
      <c r="AK322" s="303"/>
      <c r="AL322" s="303"/>
      <c r="AM322" s="303"/>
      <c r="AN322" s="304"/>
      <c r="AO322" s="304"/>
      <c r="AP322" s="304"/>
      <c r="AQ322" s="304"/>
      <c r="AR322" s="304"/>
      <c r="AS322" s="304"/>
      <c r="AT322" s="304"/>
      <c r="AU322" s="304"/>
      <c r="AV322" s="304"/>
      <c r="AW322" s="304"/>
      <c r="AX322" s="304"/>
      <c r="AY322" s="304"/>
      <c r="AZ322" s="304"/>
      <c r="BA322" s="304"/>
      <c r="BB322" s="304"/>
      <c r="BC322" s="304"/>
      <c r="BD322" s="304"/>
      <c r="BE322" s="304"/>
    </row>
    <row r="323" spans="2:59" s="31" customFormat="1" ht="15.5" x14ac:dyDescent="0.3">
      <c r="B323" s="9"/>
      <c r="C323" s="34"/>
      <c r="D323" s="84"/>
      <c r="G323" s="34" t="s">
        <v>43</v>
      </c>
      <c r="H323" s="84"/>
      <c r="K323" s="38" t="s">
        <v>329</v>
      </c>
      <c r="L323" s="38" t="s">
        <v>201</v>
      </c>
      <c r="M323" s="84"/>
      <c r="N323" s="84"/>
      <c r="O323" s="255" t="s">
        <v>644</v>
      </c>
      <c r="Q323" s="35"/>
      <c r="R323" s="44" t="s">
        <v>350</v>
      </c>
      <c r="S323" s="36"/>
      <c r="T323" s="44" t="s">
        <v>267</v>
      </c>
      <c r="U323" s="44" t="s">
        <v>268</v>
      </c>
      <c r="V323" s="44" t="s">
        <v>269</v>
      </c>
      <c r="W323" s="44" t="s">
        <v>272</v>
      </c>
      <c r="X323" s="44" t="s">
        <v>270</v>
      </c>
      <c r="Y323" s="44" t="s">
        <v>271</v>
      </c>
      <c r="Z323" s="44" t="s">
        <v>273</v>
      </c>
      <c r="AA323" s="225"/>
      <c r="AB323" s="44"/>
      <c r="AC323" s="44"/>
      <c r="AD323" s="44"/>
      <c r="AE323" s="36"/>
      <c r="AF323" s="36"/>
      <c r="AG323" s="36"/>
      <c r="AH323" s="36"/>
      <c r="AI323" s="36"/>
      <c r="AJ323" s="36"/>
      <c r="AK323" s="36"/>
      <c r="AL323" s="36"/>
      <c r="AM323" s="36"/>
      <c r="AN323" s="37"/>
      <c r="AO323" s="37"/>
      <c r="AP323" s="37"/>
      <c r="AQ323" s="37"/>
      <c r="AR323" s="37"/>
      <c r="AS323" s="37"/>
      <c r="AT323" s="37"/>
      <c r="AU323" s="37"/>
      <c r="AV323" s="37"/>
      <c r="AW323" s="37"/>
      <c r="AX323" s="37"/>
      <c r="AY323" s="37"/>
      <c r="AZ323" s="37"/>
      <c r="BA323" s="37"/>
      <c r="BB323" s="37"/>
      <c r="BC323" s="37"/>
      <c r="BD323" s="37"/>
      <c r="BE323" s="37"/>
    </row>
    <row r="324" spans="2:59" s="31" customFormat="1" ht="15.5" x14ac:dyDescent="0.3">
      <c r="B324" s="54" t="s">
        <v>578</v>
      </c>
      <c r="C324" s="160"/>
      <c r="D324" s="84" t="s">
        <v>234</v>
      </c>
      <c r="G324" s="160"/>
      <c r="H324" s="84" t="s">
        <v>44</v>
      </c>
      <c r="J324" s="33" t="s">
        <v>566</v>
      </c>
      <c r="K324" s="112">
        <f>IF(ISNUMBER(L324),L324,IF(C326=Pudotusvalikot!$J$4,Kalusto!$E$98,IF(C326=Pudotusvalikot!$J$5,Kalusto!$E$99,IF(C326=Pudotusvalikot!$J$6,Kalusto!$E$100,IF(C326=Pudotusvalikot!$J$7,Kalusto!$E$101,IF(C326=Pudotusvalikot!$J$8,Kalusto!$E$102,IF(C326=Pudotusvalikot!$J$9,Kalusto!$E$103,IF(C326=Pudotusvalikot!$J$11,Kalusto!$E$104,Kalusto!$E$98))))))))</f>
        <v>5.5</v>
      </c>
      <c r="L324" s="63"/>
      <c r="M324" s="77" t="str">
        <f>IF(C326=Pudotusvalikot!$J$9,"kWh/100 km",IF(C326=Pudotusvalikot!$J$6,"kg/100 km","l/100 km"))</f>
        <v>l/100 km</v>
      </c>
      <c r="N324" s="77"/>
      <c r="O324" s="256"/>
      <c r="Q324" s="35"/>
      <c r="R324" s="242">
        <f>SUM(U324:Z324)</f>
        <v>0</v>
      </c>
      <c r="S324" s="102" t="s">
        <v>172</v>
      </c>
      <c r="T324" s="216">
        <f>IF(ISNUMBER(C325*C324*G324),C325*C324*G324,"")</f>
        <v>0</v>
      </c>
      <c r="U324" s="218">
        <f>IF(ISNUMBER(T324),IF(C326=Pudotusvalikot!$J$5,(Muut!$H$15+Muut!$H$18)*(T324*K324/100),0),"")</f>
        <v>0</v>
      </c>
      <c r="V324" s="218">
        <f>IF(ISNUMBER(T324),IF(C326=Pudotusvalikot!$J$4,(Muut!$H$14+Muut!$H$17)*(T324*K324/100),0),"")</f>
        <v>0</v>
      </c>
      <c r="W324" s="218">
        <f>IF(ISNUMBER(T324),IF(C326=Pudotusvalikot!$J$6,(Muut!$H$16+Muut!$H$19)*(T324*K324/100),0),"")</f>
        <v>0</v>
      </c>
      <c r="X324" s="218">
        <f>IF(ISNUMBER(T324),IF(C326=Pudotusvalikot!$J$7,((Muut!$H$15+Muut!$H$18)*(100%-Kalusto!$O$101)+(Muut!$H$14+Muut!$H$17)*Kalusto!$O$101)*(T324*K324/100),0),"")</f>
        <v>0</v>
      </c>
      <c r="Y324" s="230">
        <f>IF(ISNUMBER(T324),IF(C326=Pudotusvalikot!$J$8,((Kalusto!$K$102)*(100%-Kalusto!$O$102)+(Kalusto!$M$102)*Kalusto!$O$102)*(Muut!$H$13+Muut!$H$12)/100*T324/1000+((Kalusto!$G$102)*(100%-Kalusto!$O$102)+(Kalusto!$I$102)*Kalusto!$O$102)*(K324+Muut!$H$18)/100*T324,0),"")</f>
        <v>0</v>
      </c>
      <c r="Z324" s="230">
        <f>IF(ISNUMBER(T324),IF(C326=Pudotusvalikot!$J$9,Kalusto!$E$103*(K324+Muut!$H$12)/100*T324/1000,0),"")</f>
        <v>0</v>
      </c>
      <c r="AA324" s="225"/>
      <c r="AB324" s="44"/>
      <c r="AC324" s="44"/>
      <c r="AD324" s="44"/>
      <c r="AE324" s="36"/>
      <c r="AF324" s="36"/>
      <c r="AG324" s="36"/>
      <c r="AH324" s="36"/>
      <c r="AI324" s="36"/>
      <c r="AJ324" s="36"/>
      <c r="AK324" s="36"/>
      <c r="AL324" s="36"/>
      <c r="AM324" s="36"/>
      <c r="AN324" s="37"/>
      <c r="AO324" s="37"/>
      <c r="AP324" s="37"/>
      <c r="AQ324" s="37"/>
      <c r="AR324" s="37"/>
      <c r="AS324" s="37"/>
      <c r="AT324" s="37"/>
      <c r="AU324" s="37"/>
      <c r="AV324" s="37"/>
      <c r="AW324" s="37"/>
      <c r="AX324" s="37"/>
      <c r="AY324" s="37"/>
      <c r="AZ324" s="37"/>
      <c r="BA324" s="37"/>
      <c r="BB324" s="37"/>
      <c r="BC324" s="37"/>
      <c r="BD324" s="37"/>
      <c r="BE324" s="37"/>
    </row>
    <row r="325" spans="2:59" s="31" customFormat="1" ht="15.5" x14ac:dyDescent="0.3">
      <c r="B325" s="54" t="s">
        <v>577</v>
      </c>
      <c r="C325" s="161"/>
      <c r="D325" s="84" t="s">
        <v>5</v>
      </c>
      <c r="G325" s="34"/>
      <c r="H325" s="84"/>
      <c r="J325" s="33"/>
      <c r="K325" s="34"/>
      <c r="L325" s="34"/>
      <c r="M325" s="84"/>
      <c r="N325" s="84"/>
      <c r="O325" s="100"/>
      <c r="Q325" s="35"/>
      <c r="R325" s="106"/>
      <c r="S325" s="36"/>
      <c r="T325" s="44"/>
      <c r="U325" s="44"/>
      <c r="V325" s="44"/>
      <c r="W325" s="44"/>
      <c r="X325" s="44"/>
      <c r="Y325" s="44"/>
      <c r="Z325" s="44"/>
      <c r="AA325" s="44"/>
      <c r="AB325" s="44"/>
      <c r="AC325" s="44"/>
      <c r="AD325" s="44"/>
      <c r="AE325" s="36"/>
      <c r="AF325" s="36"/>
      <c r="AG325" s="36"/>
      <c r="AH325" s="36"/>
      <c r="AI325" s="36"/>
      <c r="AJ325" s="36"/>
      <c r="AK325" s="36"/>
      <c r="AL325" s="36"/>
      <c r="AM325" s="36"/>
      <c r="AN325" s="37"/>
      <c r="AO325" s="37"/>
      <c r="AP325" s="37"/>
      <c r="AQ325" s="37"/>
      <c r="AR325" s="37"/>
      <c r="AS325" s="37"/>
      <c r="AT325" s="37"/>
      <c r="AU325" s="37"/>
      <c r="AV325" s="37"/>
      <c r="AW325" s="37"/>
      <c r="AX325" s="37"/>
      <c r="AY325" s="37"/>
      <c r="AZ325" s="37"/>
      <c r="BA325" s="37"/>
      <c r="BB325" s="37"/>
      <c r="BC325" s="37"/>
      <c r="BD325" s="37"/>
      <c r="BE325" s="37"/>
    </row>
    <row r="326" spans="2:59" s="31" customFormat="1" ht="15.5" x14ac:dyDescent="0.3">
      <c r="B326" s="54" t="s">
        <v>576</v>
      </c>
      <c r="C326" s="399" t="s">
        <v>242</v>
      </c>
      <c r="D326" s="399"/>
      <c r="G326" s="34"/>
      <c r="H326" s="84"/>
      <c r="J326" s="33"/>
      <c r="K326" s="34"/>
      <c r="L326" s="34"/>
      <c r="M326" s="84"/>
      <c r="N326" s="84"/>
      <c r="O326" s="100"/>
      <c r="Q326" s="35"/>
      <c r="R326" s="106"/>
      <c r="S326" s="36"/>
      <c r="T326" s="44"/>
      <c r="U326" s="44"/>
      <c r="V326" s="44"/>
      <c r="W326" s="44"/>
      <c r="X326" s="44"/>
      <c r="Y326" s="44"/>
      <c r="Z326" s="44"/>
      <c r="AA326" s="44"/>
      <c r="AB326" s="44"/>
      <c r="AC326" s="44"/>
      <c r="AD326" s="44"/>
      <c r="AE326" s="36"/>
      <c r="AF326" s="36"/>
      <c r="AG326" s="36"/>
      <c r="AH326" s="36"/>
      <c r="AI326" s="36"/>
      <c r="AJ326" s="36"/>
      <c r="AK326" s="36"/>
      <c r="AL326" s="36"/>
      <c r="AM326" s="36"/>
      <c r="AN326" s="37"/>
      <c r="AO326" s="37"/>
      <c r="AP326" s="37"/>
      <c r="AQ326" s="37"/>
      <c r="AR326" s="37"/>
      <c r="AS326" s="37"/>
      <c r="AT326" s="37"/>
      <c r="AU326" s="37"/>
      <c r="AV326" s="37"/>
      <c r="AW326" s="37"/>
      <c r="AX326" s="37"/>
      <c r="AY326" s="37"/>
      <c r="AZ326" s="37"/>
      <c r="BA326" s="37"/>
      <c r="BB326" s="37"/>
      <c r="BC326" s="37"/>
      <c r="BD326" s="37"/>
      <c r="BE326" s="37"/>
    </row>
    <row r="327" spans="2:59" ht="13.9" customHeight="1" x14ac:dyDescent="0.3">
      <c r="T327" s="233"/>
    </row>
    <row r="328" spans="2:59" ht="13.9" hidden="1" customHeight="1" x14ac:dyDescent="0.3">
      <c r="T328" s="233"/>
    </row>
    <row r="329" spans="2:59" ht="13.9" hidden="1" customHeight="1" x14ac:dyDescent="0.3">
      <c r="T329" s="233"/>
    </row>
    <row r="330" spans="2:59" ht="13.9" hidden="1" customHeight="1" x14ac:dyDescent="0.3">
      <c r="T330" s="233"/>
    </row>
    <row r="331" spans="2:59" ht="13.9" hidden="1" customHeight="1" x14ac:dyDescent="0.3">
      <c r="R331" s="285"/>
      <c r="T331" s="233"/>
    </row>
    <row r="332" spans="2:59" ht="13.9" hidden="1" customHeight="1" x14ac:dyDescent="0.3">
      <c r="S332" s="23"/>
      <c r="T332" s="233"/>
    </row>
    <row r="333" spans="2:59" ht="13.9" hidden="1" customHeight="1" x14ac:dyDescent="0.3">
      <c r="S333" s="23"/>
      <c r="T333" s="233"/>
      <c r="Y333" s="235"/>
      <c r="Z333" s="284"/>
    </row>
    <row r="334" spans="2:59" ht="13.9" hidden="1" customHeight="1" x14ac:dyDescent="0.3">
      <c r="S334" s="212"/>
      <c r="Y334" s="235"/>
      <c r="Z334" s="284"/>
    </row>
    <row r="335" spans="2:59" ht="13.9" hidden="1" customHeight="1" x14ac:dyDescent="0.3">
      <c r="S335" s="252"/>
      <c r="Y335" s="235"/>
      <c r="Z335" s="284"/>
    </row>
    <row r="336" spans="2:59" ht="13.9" hidden="1" customHeight="1" x14ac:dyDescent="0.3">
      <c r="S336" s="252"/>
      <c r="Y336" s="235"/>
      <c r="Z336" s="284"/>
    </row>
    <row r="337" spans="19:26" ht="13.9" hidden="1" customHeight="1" x14ac:dyDescent="0.3">
      <c r="S337" s="212"/>
      <c r="Y337" s="235"/>
      <c r="Z337" s="284"/>
    </row>
    <row r="338" spans="19:26" ht="13.9" hidden="1" customHeight="1" x14ac:dyDescent="0.3">
      <c r="S338" s="252"/>
      <c r="Y338" s="235"/>
      <c r="Z338" s="284"/>
    </row>
    <row r="339" spans="19:26" ht="13.9" hidden="1" customHeight="1" x14ac:dyDescent="0.3">
      <c r="S339" s="252"/>
      <c r="Y339" s="235"/>
      <c r="Z339" s="284"/>
    </row>
    <row r="340" spans="19:26" ht="13.9" hidden="1" customHeight="1" x14ac:dyDescent="0.3">
      <c r="S340" s="23"/>
      <c r="T340" s="233"/>
      <c r="Y340" s="235"/>
      <c r="Z340" s="284"/>
    </row>
    <row r="341" spans="19:26" ht="13.9" hidden="1" customHeight="1" x14ac:dyDescent="0.3">
      <c r="S341" s="212"/>
      <c r="Y341" s="235"/>
      <c r="Z341" s="284"/>
    </row>
    <row r="342" spans="19:26" ht="13.9" hidden="1" customHeight="1" x14ac:dyDescent="0.3">
      <c r="S342" s="212"/>
      <c r="Y342" s="235"/>
      <c r="Z342" s="284"/>
    </row>
    <row r="343" spans="19:26" ht="13.9" hidden="1" customHeight="1" x14ac:dyDescent="0.3">
      <c r="S343" s="212"/>
      <c r="Y343" s="235"/>
      <c r="Z343" s="284"/>
    </row>
    <row r="344" spans="19:26" ht="13.9" hidden="1" customHeight="1" x14ac:dyDescent="0.3">
      <c r="S344" s="103"/>
      <c r="Y344" s="235"/>
      <c r="Z344" s="284"/>
    </row>
    <row r="345" spans="19:26" ht="13.9" hidden="1" customHeight="1" x14ac:dyDescent="0.3">
      <c r="S345" s="23"/>
      <c r="T345" s="233"/>
      <c r="Y345" s="235"/>
      <c r="Z345" s="284"/>
    </row>
    <row r="346" spans="19:26" ht="13.9" hidden="1" customHeight="1" x14ac:dyDescent="0.3">
      <c r="S346" s="23"/>
      <c r="T346" s="233"/>
      <c r="Y346" s="235"/>
      <c r="Z346" s="284"/>
    </row>
    <row r="347" spans="19:26" ht="13.9" hidden="1" customHeight="1" x14ac:dyDescent="0.3">
      <c r="S347" s="23"/>
      <c r="T347" s="233"/>
      <c r="Y347" s="235"/>
      <c r="Z347" s="284"/>
    </row>
    <row r="348" spans="19:26" ht="13.9" hidden="1" customHeight="1" x14ac:dyDescent="0.3">
      <c r="S348" s="212"/>
      <c r="Y348" s="235"/>
      <c r="Z348" s="284"/>
    </row>
    <row r="349" spans="19:26" ht="13.9" hidden="1" customHeight="1" x14ac:dyDescent="0.3">
      <c r="S349" s="212"/>
      <c r="Y349" s="235"/>
      <c r="Z349" s="284"/>
    </row>
    <row r="350" spans="19:26" ht="13.9" hidden="1" customHeight="1" x14ac:dyDescent="0.3">
      <c r="S350" s="23"/>
      <c r="T350" s="233"/>
      <c r="Y350" s="235"/>
      <c r="Z350" s="284"/>
    </row>
    <row r="351" spans="19:26" ht="13.9" hidden="1" customHeight="1" x14ac:dyDescent="0.3">
      <c r="S351" s="23"/>
      <c r="T351" s="233"/>
      <c r="Y351" s="235"/>
      <c r="Z351" s="284"/>
    </row>
    <row r="352" spans="19:26" ht="13.9" hidden="1" customHeight="1" x14ac:dyDescent="0.3">
      <c r="S352" s="212"/>
      <c r="Y352" s="235"/>
      <c r="Z352" s="284"/>
    </row>
    <row r="353" spans="19:26" ht="13.9" hidden="1" customHeight="1" x14ac:dyDescent="0.3">
      <c r="S353" s="212"/>
      <c r="Y353" s="235"/>
      <c r="Z353" s="284"/>
    </row>
    <row r="354" spans="19:26" ht="13.9" hidden="1" customHeight="1" x14ac:dyDescent="0.3">
      <c r="S354" s="23"/>
      <c r="T354" s="233"/>
      <c r="Y354" s="235"/>
      <c r="Z354" s="284"/>
    </row>
    <row r="355" spans="19:26" ht="13.9" hidden="1" customHeight="1" x14ac:dyDescent="0.3">
      <c r="S355" s="23"/>
      <c r="T355" s="233"/>
      <c r="Y355" s="235"/>
      <c r="Z355" s="284"/>
    </row>
    <row r="356" spans="19:26" ht="13.9" hidden="1" customHeight="1" x14ac:dyDescent="0.3">
      <c r="S356" s="23"/>
      <c r="Y356" s="235"/>
      <c r="Z356" s="284"/>
    </row>
    <row r="357" spans="19:26" ht="13.9" hidden="1" customHeight="1" x14ac:dyDescent="0.3">
      <c r="S357" s="23"/>
      <c r="Y357" s="235"/>
      <c r="Z357" s="284"/>
    </row>
    <row r="358" spans="19:26" ht="13.9" hidden="1" customHeight="1" x14ac:dyDescent="0.3">
      <c r="S358" s="103"/>
      <c r="Y358" s="235"/>
      <c r="Z358" s="284"/>
    </row>
    <row r="359" spans="19:26" ht="13.9" hidden="1" customHeight="1" x14ac:dyDescent="0.3">
      <c r="S359" s="23"/>
      <c r="Y359" s="235"/>
      <c r="Z359" s="284"/>
    </row>
    <row r="360" spans="19:26" ht="13.9" hidden="1" customHeight="1" x14ac:dyDescent="0.3">
      <c r="S360" s="212"/>
      <c r="Y360" s="235"/>
      <c r="Z360" s="284"/>
    </row>
    <row r="361" spans="19:26" ht="13.9" hidden="1" customHeight="1" x14ac:dyDescent="0.3">
      <c r="S361" s="212"/>
      <c r="Y361" s="235"/>
      <c r="Z361" s="284"/>
    </row>
    <row r="362" spans="19:26" ht="13.9" hidden="1" customHeight="1" x14ac:dyDescent="0.3">
      <c r="S362" s="212"/>
      <c r="Y362" s="235"/>
      <c r="Z362" s="284"/>
    </row>
    <row r="363" spans="19:26" ht="13.9" hidden="1" customHeight="1" x14ac:dyDescent="0.3">
      <c r="S363" s="23"/>
      <c r="Y363" s="235"/>
      <c r="Z363" s="284"/>
    </row>
    <row r="364" spans="19:26" ht="13.9" hidden="1" customHeight="1" x14ac:dyDescent="0.3">
      <c r="S364" s="23"/>
      <c r="Y364" s="235"/>
      <c r="Z364" s="284"/>
    </row>
    <row r="365" spans="19:26" ht="13.9" hidden="1" customHeight="1" x14ac:dyDescent="0.3">
      <c r="S365" s="23"/>
      <c r="Y365" s="235"/>
      <c r="Z365" s="284"/>
    </row>
    <row r="366" spans="19:26" ht="13.9" hidden="1" customHeight="1" x14ac:dyDescent="0.3">
      <c r="S366" s="212"/>
      <c r="Y366" s="235"/>
      <c r="Z366" s="284"/>
    </row>
    <row r="367" spans="19:26" ht="13.9" hidden="1" customHeight="1" x14ac:dyDescent="0.3">
      <c r="S367" s="23"/>
      <c r="Y367" s="235"/>
      <c r="Z367" s="284"/>
    </row>
    <row r="368" spans="19:26" ht="13.9" hidden="1" customHeight="1" x14ac:dyDescent="0.3">
      <c r="S368" s="212"/>
      <c r="Y368" s="235"/>
      <c r="Z368" s="284"/>
    </row>
    <row r="369" spans="19:26" ht="13.9" hidden="1" customHeight="1" x14ac:dyDescent="0.3">
      <c r="S369" s="23"/>
      <c r="Y369" s="235"/>
      <c r="Z369" s="284"/>
    </row>
    <row r="370" spans="19:26" ht="13.9" hidden="1" customHeight="1" x14ac:dyDescent="0.3">
      <c r="S370" s="23"/>
      <c r="Y370" s="235"/>
      <c r="Z370" s="284"/>
    </row>
    <row r="371" spans="19:26" ht="13.9" hidden="1" customHeight="1" x14ac:dyDescent="0.3">
      <c r="S371" s="103"/>
      <c r="Y371" s="235"/>
    </row>
    <row r="372" spans="19:26" ht="13.9" hidden="1" customHeight="1" x14ac:dyDescent="0.3">
      <c r="S372" s="103"/>
      <c r="X372" s="235"/>
      <c r="Y372" s="235"/>
    </row>
    <row r="373" spans="19:26" ht="13.9" hidden="1" customHeight="1" x14ac:dyDescent="0.3">
      <c r="S373" s="103"/>
    </row>
    <row r="374" spans="19:26" ht="13.9" hidden="1" customHeight="1" x14ac:dyDescent="0.3"/>
    <row r="375" spans="19:26" ht="13.9" hidden="1" customHeight="1" x14ac:dyDescent="0.3">
      <c r="S375" s="103"/>
      <c r="Y375" s="235"/>
    </row>
    <row r="376" spans="19:26" ht="13.9" hidden="1" customHeight="1" x14ac:dyDescent="0.3"/>
    <row r="377" spans="19:26" ht="13.9" hidden="1" customHeight="1" x14ac:dyDescent="0.3">
      <c r="S377" s="103"/>
      <c r="U377" s="235"/>
      <c r="V377" s="284"/>
    </row>
    <row r="378" spans="19:26" ht="13.9" hidden="1" customHeight="1" x14ac:dyDescent="0.3">
      <c r="S378" s="103"/>
      <c r="U378" s="235"/>
      <c r="V378" s="284"/>
    </row>
    <row r="379" spans="19:26" ht="13.9" hidden="1" customHeight="1" x14ac:dyDescent="0.3">
      <c r="S379" s="103"/>
      <c r="U379" s="235"/>
      <c r="V379" s="284"/>
    </row>
    <row r="380" spans="19:26" ht="13.9" hidden="1" customHeight="1" x14ac:dyDescent="0.3">
      <c r="S380" s="103"/>
      <c r="V380" s="284"/>
    </row>
    <row r="381" spans="19:26" ht="13.9" hidden="1" customHeight="1" x14ac:dyDescent="0.3">
      <c r="S381" s="103"/>
      <c r="U381" s="235"/>
      <c r="V381" s="284"/>
    </row>
    <row r="382" spans="19:26" ht="13.9" hidden="1" customHeight="1" x14ac:dyDescent="0.3">
      <c r="S382" s="103"/>
      <c r="U382" s="235"/>
      <c r="V382" s="284"/>
    </row>
    <row r="383" spans="19:26" ht="13.9" hidden="1" customHeight="1" x14ac:dyDescent="0.3">
      <c r="S383" s="103"/>
      <c r="U383" s="235"/>
      <c r="V383" s="284"/>
    </row>
    <row r="384" spans="19:26" ht="13.9" hidden="1" customHeight="1" x14ac:dyDescent="0.3"/>
    <row r="385" spans="18:20" ht="13.9" hidden="1" customHeight="1" x14ac:dyDescent="0.3"/>
    <row r="386" spans="18:20" ht="13.9" hidden="1" customHeight="1" x14ac:dyDescent="0.3"/>
    <row r="387" spans="18:20" ht="13.9" hidden="1" customHeight="1" x14ac:dyDescent="0.3"/>
    <row r="388" spans="18:20" ht="13.9" hidden="1" customHeight="1" x14ac:dyDescent="0.3"/>
    <row r="389" spans="18:20" ht="13.9" hidden="1" customHeight="1" x14ac:dyDescent="0.3"/>
    <row r="390" spans="18:20" ht="13.9" hidden="1" customHeight="1" x14ac:dyDescent="0.3"/>
    <row r="391" spans="18:20" ht="13.9" hidden="1" customHeight="1" x14ac:dyDescent="0.3"/>
    <row r="392" spans="18:20" ht="13.9" hidden="1" customHeight="1" x14ac:dyDescent="0.3"/>
    <row r="393" spans="18:20" ht="13.9" hidden="1" customHeight="1" x14ac:dyDescent="0.3"/>
    <row r="394" spans="18:20" ht="13.9" hidden="1" customHeight="1" x14ac:dyDescent="0.3"/>
    <row r="395" spans="18:20" ht="13.9" hidden="1" customHeight="1" x14ac:dyDescent="0.3"/>
    <row r="396" spans="18:20" ht="13.9" hidden="1" customHeight="1" x14ac:dyDescent="0.3"/>
    <row r="397" spans="18:20" ht="13.9" hidden="1" customHeight="1" x14ac:dyDescent="0.3"/>
    <row r="398" spans="18:20" ht="13.9" hidden="1" customHeight="1" x14ac:dyDescent="0.3"/>
    <row r="399" spans="18:20" ht="13.9" hidden="1" customHeight="1" x14ac:dyDescent="0.3"/>
    <row r="400" spans="18:20" ht="13.9" customHeight="1" x14ac:dyDescent="0.3">
      <c r="R400" s="285" t="s">
        <v>346</v>
      </c>
      <c r="T400" s="233"/>
    </row>
    <row r="401" spans="19:26" ht="13.9" customHeight="1" x14ac:dyDescent="0.3">
      <c r="S401" s="23"/>
      <c r="T401" s="233"/>
      <c r="Y401" s="234" t="s">
        <v>172</v>
      </c>
      <c r="Z401" s="234" t="s">
        <v>658</v>
      </c>
    </row>
    <row r="402" spans="19:26" ht="13.9" customHeight="1" x14ac:dyDescent="0.3">
      <c r="S402" s="286" t="str">
        <f>B8</f>
        <v>Käsittelyssä tarvittavien työkoneiden ja muun työmaakaluston kuljetus alueelle sekä niiden kuljetus alueelta pois käsittelyn päättyessä</v>
      </c>
      <c r="T402" s="287"/>
      <c r="U402" s="288"/>
      <c r="V402" s="288"/>
      <c r="W402" s="288" t="s">
        <v>730</v>
      </c>
      <c r="X402" s="288" t="s">
        <v>674</v>
      </c>
      <c r="Y402" s="289">
        <f ca="1">SUM(Y403,Y406)</f>
        <v>0</v>
      </c>
      <c r="Z402" s="290" t="str">
        <f t="shared" ref="Z402:Z416" ca="1" si="0">IF(ISERROR(Y402/$Y$439),"--",Y402/$Y$439)</f>
        <v>--</v>
      </c>
    </row>
    <row r="403" spans="19:26" ht="13.9" customHeight="1" x14ac:dyDescent="0.3">
      <c r="S403" s="212" t="s">
        <v>629</v>
      </c>
      <c r="W403" s="234" t="s">
        <v>730</v>
      </c>
      <c r="X403" s="234" t="s">
        <v>348</v>
      </c>
      <c r="Y403" s="235">
        <f ca="1">SUM(Y404:Y405)</f>
        <v>0</v>
      </c>
      <c r="Z403" s="284" t="str">
        <f t="shared" ca="1" si="0"/>
        <v>--</v>
      </c>
    </row>
    <row r="404" spans="19:26" ht="13.9" customHeight="1" x14ac:dyDescent="0.3">
      <c r="S404" s="252" t="s">
        <v>40</v>
      </c>
      <c r="W404" s="234" t="s">
        <v>40</v>
      </c>
      <c r="Y404" s="235">
        <f>SUM(AB11,AB16,AB21)</f>
        <v>0</v>
      </c>
      <c r="Z404" s="284" t="str">
        <f t="shared" ca="1" si="0"/>
        <v>--</v>
      </c>
    </row>
    <row r="405" spans="19:26" ht="13.9" customHeight="1" x14ac:dyDescent="0.3">
      <c r="S405" s="252" t="s">
        <v>637</v>
      </c>
      <c r="W405" s="234" t="s">
        <v>40</v>
      </c>
      <c r="Y405" s="235">
        <f ca="1">SUM(AG21,AG16,AG11)</f>
        <v>0</v>
      </c>
      <c r="Z405" s="284" t="str">
        <f t="shared" ca="1" si="0"/>
        <v>--</v>
      </c>
    </row>
    <row r="406" spans="19:26" ht="13.9" customHeight="1" x14ac:dyDescent="0.3">
      <c r="S406" s="212" t="s">
        <v>630</v>
      </c>
      <c r="W406" s="234" t="s">
        <v>730</v>
      </c>
      <c r="X406" s="234" t="s">
        <v>673</v>
      </c>
      <c r="Y406" s="235">
        <f ca="1">SUM(Y407:Y408)</f>
        <v>0</v>
      </c>
      <c r="Z406" s="284" t="str">
        <f t="shared" ca="1" si="0"/>
        <v>--</v>
      </c>
    </row>
    <row r="407" spans="19:26" ht="13.9" customHeight="1" x14ac:dyDescent="0.3">
      <c r="S407" s="252" t="s">
        <v>40</v>
      </c>
      <c r="W407" s="234" t="s">
        <v>40</v>
      </c>
      <c r="Y407" s="235">
        <f>SUM(AB21,AB16,AB11)</f>
        <v>0</v>
      </c>
      <c r="Z407" s="284" t="str">
        <f t="shared" ca="1" si="0"/>
        <v>--</v>
      </c>
    </row>
    <row r="408" spans="19:26" ht="13.9" customHeight="1" x14ac:dyDescent="0.3">
      <c r="S408" s="252" t="s">
        <v>637</v>
      </c>
      <c r="W408" s="234" t="s">
        <v>40</v>
      </c>
      <c r="Y408" s="235">
        <f ca="1">SUM(AG21,AG16,AG11)</f>
        <v>0</v>
      </c>
      <c r="Z408" s="284" t="str">
        <f t="shared" ca="1" si="0"/>
        <v>--</v>
      </c>
    </row>
    <row r="409" spans="19:26" ht="13.9" customHeight="1" x14ac:dyDescent="0.3">
      <c r="S409" s="286" t="str">
        <f>B28</f>
        <v>Käsittelyä varten tehtävät puuston, asfalttipintojen  tai rakenteiden poisto</v>
      </c>
      <c r="T409" s="287"/>
      <c r="U409" s="288"/>
      <c r="V409" s="288"/>
      <c r="W409" s="288" t="s">
        <v>731</v>
      </c>
      <c r="X409" s="288" t="s">
        <v>348</v>
      </c>
      <c r="Y409" s="289">
        <f>SUM(Y410,Y411,Y412)</f>
        <v>0</v>
      </c>
      <c r="Z409" s="290" t="str">
        <f t="shared" ca="1" si="0"/>
        <v>--</v>
      </c>
    </row>
    <row r="410" spans="19:26" ht="13.9" customHeight="1" x14ac:dyDescent="0.3">
      <c r="S410" s="212" t="s">
        <v>634</v>
      </c>
      <c r="W410" s="234" t="s">
        <v>655</v>
      </c>
      <c r="X410" s="234" t="s">
        <v>348</v>
      </c>
      <c r="Y410" s="235">
        <f>SUM(R31)</f>
        <v>0</v>
      </c>
      <c r="Z410" s="284" t="str">
        <f t="shared" ca="1" si="0"/>
        <v>--</v>
      </c>
    </row>
    <row r="411" spans="19:26" ht="13.9" customHeight="1" x14ac:dyDescent="0.3">
      <c r="S411" s="212" t="s">
        <v>631</v>
      </c>
      <c r="W411" s="234" t="s">
        <v>655</v>
      </c>
      <c r="X411" s="234" t="s">
        <v>635</v>
      </c>
      <c r="Y411" s="235">
        <f>SUM(R32)</f>
        <v>0</v>
      </c>
      <c r="Z411" s="284" t="str">
        <f t="shared" ca="1" si="0"/>
        <v>--</v>
      </c>
    </row>
    <row r="412" spans="19:26" ht="13.9" customHeight="1" x14ac:dyDescent="0.3">
      <c r="S412" s="212" t="s">
        <v>55</v>
      </c>
      <c r="W412" s="234" t="s">
        <v>655</v>
      </c>
      <c r="X412" s="234" t="s">
        <v>348</v>
      </c>
      <c r="Y412" s="235">
        <f>SUM(R34)</f>
        <v>0</v>
      </c>
      <c r="Z412" s="284" t="str">
        <f t="shared" ca="1" si="0"/>
        <v>--</v>
      </c>
    </row>
    <row r="413" spans="19:26" ht="13.9" customHeight="1" x14ac:dyDescent="0.3">
      <c r="S413" s="286" t="s">
        <v>632</v>
      </c>
      <c r="T413" s="288"/>
      <c r="U413" s="288"/>
      <c r="V413" s="288"/>
      <c r="W413" s="288" t="s">
        <v>663</v>
      </c>
      <c r="X413" s="288" t="s">
        <v>633</v>
      </c>
      <c r="Y413" s="289">
        <f>SUM(R30)</f>
        <v>0</v>
      </c>
      <c r="Z413" s="290" t="str">
        <f t="shared" ca="1" si="0"/>
        <v>--</v>
      </c>
    </row>
    <row r="414" spans="19:26" ht="13.9" customHeight="1" x14ac:dyDescent="0.3">
      <c r="S414" s="286" t="str">
        <f>B37</f>
        <v>Maan kaivu ja muotoilu (valmistelu- ja puhdistusvaihe)</v>
      </c>
      <c r="T414" s="287"/>
      <c r="U414" s="288"/>
      <c r="V414" s="288"/>
      <c r="W414" s="288" t="s">
        <v>655</v>
      </c>
      <c r="X414" s="288" t="s">
        <v>635</v>
      </c>
      <c r="Y414" s="289">
        <f>SUM(R39)</f>
        <v>0</v>
      </c>
      <c r="Z414" s="290" t="str">
        <f t="shared" ca="1" si="0"/>
        <v>--</v>
      </c>
    </row>
    <row r="415" spans="19:26" ht="13.9" customHeight="1" x14ac:dyDescent="0.3">
      <c r="S415" s="286" t="str">
        <f>B44</f>
        <v xml:space="preserve">Muut asennus- ja valmisteluvaiheen työkoneita tarvitsevat työosuudet </v>
      </c>
      <c r="T415" s="287"/>
      <c r="U415" s="288"/>
      <c r="V415" s="288"/>
      <c r="W415" s="288" t="s">
        <v>655</v>
      </c>
      <c r="X415" s="288" t="s">
        <v>348</v>
      </c>
      <c r="Y415" s="289">
        <f>SUM(R47,R51,R55)</f>
        <v>0</v>
      </c>
      <c r="Z415" s="290" t="str">
        <f t="shared" ca="1" si="0"/>
        <v>--</v>
      </c>
    </row>
    <row r="416" spans="19:26" ht="13.9" customHeight="1" x14ac:dyDescent="0.3">
      <c r="S416" s="286" t="str">
        <f>B52</f>
        <v>Työkoneen käyttövoima (valitse viereisestä alasvetovalikosta)</v>
      </c>
      <c r="T416" s="287"/>
      <c r="U416" s="288"/>
      <c r="V416" s="288"/>
      <c r="W416" s="288" t="s">
        <v>730</v>
      </c>
      <c r="X416" s="288" t="s">
        <v>664</v>
      </c>
      <c r="Y416" s="289">
        <f ca="1">SUM(Y417:Y418)</f>
        <v>0</v>
      </c>
      <c r="Z416" s="290" t="str">
        <f t="shared" ca="1" si="0"/>
        <v>--</v>
      </c>
    </row>
    <row r="417" spans="19:26" ht="13.9" customHeight="1" x14ac:dyDescent="0.3">
      <c r="S417" s="212" t="s">
        <v>40</v>
      </c>
      <c r="T417" s="233"/>
      <c r="W417" s="234" t="s">
        <v>40</v>
      </c>
      <c r="X417" s="234" t="s">
        <v>664</v>
      </c>
      <c r="Y417" s="235">
        <f>SUM(AB62,AB67,AB72,AB77,AB82)</f>
        <v>0</v>
      </c>
      <c r="Z417" s="284" t="str">
        <f ca="1">IF(ISERROR(Y417/$Y$439),"--",Y417/$Y$439)</f>
        <v>--</v>
      </c>
    </row>
    <row r="418" spans="19:26" ht="13.9" customHeight="1" x14ac:dyDescent="0.3">
      <c r="S418" s="212" t="s">
        <v>637</v>
      </c>
      <c r="T418" s="233"/>
      <c r="W418" s="234" t="s">
        <v>40</v>
      </c>
      <c r="X418" s="234" t="s">
        <v>664</v>
      </c>
      <c r="Y418" s="235">
        <f ca="1">SUM(AG62,AG67,AG72,AG77,AG82)</f>
        <v>0</v>
      </c>
      <c r="Z418" s="284" t="str">
        <f t="shared" ref="Z418:Z437" ca="1" si="1">IF(ISERROR(Y418/$Y$439),"--",Y418/$Y$439)</f>
        <v>--</v>
      </c>
    </row>
    <row r="419" spans="19:26" ht="13.9" customHeight="1" x14ac:dyDescent="0.3">
      <c r="S419" s="286" t="str">
        <f>B89</f>
        <v>Mahdolliset poistettavia maa-aineksia korvaavien maa-ainesten määrä</v>
      </c>
      <c r="T419" s="287"/>
      <c r="U419" s="288"/>
      <c r="V419" s="288"/>
      <c r="W419" s="288" t="s">
        <v>654</v>
      </c>
      <c r="X419" s="288" t="s">
        <v>664</v>
      </c>
      <c r="Y419" s="289">
        <f>SUM(R91:R95)</f>
        <v>0</v>
      </c>
      <c r="Z419" s="290" t="str">
        <f t="shared" ca="1" si="1"/>
        <v>--</v>
      </c>
    </row>
    <row r="420" spans="19:26" ht="13.9" customHeight="1" x14ac:dyDescent="0.3">
      <c r="S420" s="286" t="str">
        <f>B99</f>
        <v>Mahdollisten korvaavien maa-ainesten kuljetukset alueelle</v>
      </c>
      <c r="T420" s="287"/>
      <c r="U420" s="288"/>
      <c r="V420" s="288"/>
      <c r="W420" s="288" t="s">
        <v>730</v>
      </c>
      <c r="X420" s="288" t="s">
        <v>664</v>
      </c>
      <c r="Y420" s="289">
        <f ca="1">SUM(Y421,Y422)</f>
        <v>0</v>
      </c>
      <c r="Z420" s="290" t="str">
        <f t="shared" ca="1" si="1"/>
        <v>--</v>
      </c>
    </row>
    <row r="421" spans="19:26" ht="13.9" customHeight="1" x14ac:dyDescent="0.3">
      <c r="S421" s="212" t="s">
        <v>40</v>
      </c>
      <c r="W421" s="234" t="s">
        <v>40</v>
      </c>
      <c r="X421" s="234" t="s">
        <v>664</v>
      </c>
      <c r="Y421" s="235">
        <f>SUM(AB117,AB112,AB107,AB102,AB122)</f>
        <v>0</v>
      </c>
      <c r="Z421" s="284" t="str">
        <f t="shared" ca="1" si="1"/>
        <v>--</v>
      </c>
    </row>
    <row r="422" spans="19:26" ht="13.9" customHeight="1" x14ac:dyDescent="0.3">
      <c r="S422" s="212" t="s">
        <v>637</v>
      </c>
      <c r="W422" s="234" t="s">
        <v>40</v>
      </c>
      <c r="X422" s="234" t="s">
        <v>664</v>
      </c>
      <c r="Y422" s="235">
        <f ca="1">SUM(AG102,AG107,AG112,AG117,AG122)</f>
        <v>0</v>
      </c>
      <c r="Z422" s="284" t="str">
        <f t="shared" ca="1" si="1"/>
        <v>--</v>
      </c>
    </row>
    <row r="423" spans="19:26" ht="13.9" customHeight="1" x14ac:dyDescent="0.3">
      <c r="S423" s="286" t="str">
        <f>B129</f>
        <v>Käytettävät kertakäyttöiset tuotteet tai materiaalit</v>
      </c>
      <c r="T423" s="287"/>
      <c r="U423" s="288"/>
      <c r="V423" s="288"/>
      <c r="W423" s="288" t="s">
        <v>654</v>
      </c>
      <c r="X423" s="288" t="s">
        <v>664</v>
      </c>
      <c r="Y423" s="289">
        <f>SUM(R145,R142,R139,R136,R133)</f>
        <v>0</v>
      </c>
      <c r="Z423" s="290" t="str">
        <f t="shared" ca="1" si="1"/>
        <v>--</v>
      </c>
    </row>
    <row r="424" spans="19:26" ht="13.9" customHeight="1" x14ac:dyDescent="0.3">
      <c r="S424" s="286" t="str">
        <f>B147</f>
        <v>Käytettävien kemikaalien, tuotteiden ja materiaalien kuljetukset alueelle</v>
      </c>
      <c r="T424" s="287"/>
      <c r="U424" s="288"/>
      <c r="V424" s="288"/>
      <c r="W424" s="288" t="s">
        <v>40</v>
      </c>
      <c r="X424" s="288" t="s">
        <v>664</v>
      </c>
      <c r="Y424" s="289">
        <f>SUM(R153,R161,R169,R177,R185)</f>
        <v>0</v>
      </c>
      <c r="Z424" s="290" t="str">
        <f t="shared" ca="1" si="1"/>
        <v>--</v>
      </c>
    </row>
    <row r="425" spans="19:26" ht="13.9" customHeight="1" x14ac:dyDescent="0.3">
      <c r="S425" s="286" t="s">
        <v>42</v>
      </c>
      <c r="T425" s="288"/>
      <c r="U425" s="288"/>
      <c r="V425" s="288"/>
      <c r="W425" s="288" t="s">
        <v>732</v>
      </c>
      <c r="X425" s="288"/>
      <c r="Y425" s="289">
        <f>SUM(Y426:Y428)</f>
        <v>0</v>
      </c>
      <c r="Z425" s="290" t="str">
        <f t="shared" ca="1" si="1"/>
        <v>--</v>
      </c>
    </row>
    <row r="426" spans="19:26" ht="13.9" customHeight="1" x14ac:dyDescent="0.3">
      <c r="S426" s="212" t="s">
        <v>60</v>
      </c>
      <c r="W426" s="234" t="s">
        <v>663</v>
      </c>
      <c r="X426" s="234" t="s">
        <v>348</v>
      </c>
      <c r="Y426" s="235">
        <f>SUM(R235)</f>
        <v>0</v>
      </c>
      <c r="Z426" s="284" t="str">
        <f t="shared" ca="1" si="1"/>
        <v>--</v>
      </c>
    </row>
    <row r="427" spans="19:26" ht="13.9" customHeight="1" x14ac:dyDescent="0.3">
      <c r="S427" s="212" t="s">
        <v>640</v>
      </c>
      <c r="W427" s="234" t="s">
        <v>663</v>
      </c>
      <c r="X427" s="234" t="s">
        <v>664</v>
      </c>
      <c r="Y427" s="235">
        <f>SUM(R237)</f>
        <v>0</v>
      </c>
      <c r="Z427" s="284" t="str">
        <f t="shared" ca="1" si="1"/>
        <v>--</v>
      </c>
    </row>
    <row r="428" spans="19:26" ht="13.9" customHeight="1" x14ac:dyDescent="0.3">
      <c r="S428" s="212" t="s">
        <v>641</v>
      </c>
      <c r="W428" s="234" t="s">
        <v>663</v>
      </c>
      <c r="X428" s="234" t="s">
        <v>665</v>
      </c>
      <c r="Y428" s="235">
        <f>SUM(R324)</f>
        <v>0</v>
      </c>
      <c r="Z428" s="284" t="str">
        <f t="shared" ca="1" si="1"/>
        <v>--</v>
      </c>
    </row>
    <row r="429" spans="19:26" ht="13.9" customHeight="1" x14ac:dyDescent="0.3">
      <c r="S429" s="291" t="str">
        <f>B245</f>
        <v>Rakenteiden purkaminen</v>
      </c>
      <c r="T429" s="288"/>
      <c r="U429" s="288"/>
      <c r="V429" s="288"/>
      <c r="W429" s="288" t="s">
        <v>655</v>
      </c>
      <c r="X429" s="288" t="s">
        <v>385</v>
      </c>
      <c r="Y429" s="289">
        <f>SUM(R248,R252,R256)</f>
        <v>0</v>
      </c>
      <c r="Z429" s="290" t="str">
        <f t="shared" ca="1" si="1"/>
        <v>--</v>
      </c>
    </row>
    <row r="430" spans="19:26" ht="13.9" customHeight="1" x14ac:dyDescent="0.3">
      <c r="S430" s="291" t="str">
        <f>B260</f>
        <v>Poistettavien rakenteiden ja puhdistukseen päättämiseen liittyvien materiaalien kuljetukset</v>
      </c>
      <c r="T430" s="288"/>
      <c r="U430" s="288"/>
      <c r="V430" s="288"/>
      <c r="W430" s="288" t="s">
        <v>730</v>
      </c>
      <c r="X430" s="288" t="s">
        <v>385</v>
      </c>
      <c r="Y430" s="289">
        <f ca="1">SUM(Y431:Y432)</f>
        <v>0</v>
      </c>
      <c r="Z430" s="290" t="str">
        <f t="shared" ca="1" si="1"/>
        <v>--</v>
      </c>
    </row>
    <row r="431" spans="19:26" ht="13.9" customHeight="1" x14ac:dyDescent="0.3">
      <c r="S431" s="252" t="s">
        <v>40</v>
      </c>
      <c r="W431" s="234" t="s">
        <v>40</v>
      </c>
      <c r="X431" s="234" t="s">
        <v>385</v>
      </c>
      <c r="Y431" s="235">
        <f>SUM(AB263,AB268,AB273,AB278,AB283)</f>
        <v>0</v>
      </c>
      <c r="Z431" s="284" t="str">
        <f t="shared" ca="1" si="1"/>
        <v>--</v>
      </c>
    </row>
    <row r="432" spans="19:26" ht="13.9" customHeight="1" x14ac:dyDescent="0.3">
      <c r="S432" s="252" t="s">
        <v>637</v>
      </c>
      <c r="W432" s="234" t="s">
        <v>40</v>
      </c>
      <c r="X432" s="234" t="s">
        <v>385</v>
      </c>
      <c r="Y432" s="235">
        <f ca="1">SUM(AG263,AG268,AG273,AG278,AG283)</f>
        <v>0</v>
      </c>
      <c r="Z432" s="284" t="str">
        <f t="shared" ca="1" si="1"/>
        <v>--</v>
      </c>
    </row>
    <row r="433" spans="19:26" ht="13.9" customHeight="1" x14ac:dyDescent="0.3">
      <c r="S433" s="212" t="str">
        <f>B290</f>
        <v>Jätteiden loppusijoitus</v>
      </c>
      <c r="W433" s="234" t="s">
        <v>662</v>
      </c>
      <c r="X433" s="234" t="s">
        <v>385</v>
      </c>
      <c r="Y433" s="235"/>
      <c r="Z433" s="284" t="str">
        <f t="shared" ca="1" si="1"/>
        <v>--</v>
      </c>
    </row>
    <row r="434" spans="19:26" ht="13.9" customHeight="1" x14ac:dyDescent="0.3">
      <c r="S434" s="292" t="str">
        <f>B292</f>
        <v>Poistettujen kertakäyttöisten rakenteiden ja materiaalien jatkokäsittely (pl. maa-ainekset)</v>
      </c>
      <c r="T434" s="288"/>
      <c r="U434" s="288"/>
      <c r="V434" s="288"/>
      <c r="W434" s="288" t="s">
        <v>662</v>
      </c>
      <c r="X434" s="288" t="s">
        <v>385</v>
      </c>
      <c r="Y434" s="289">
        <f>SUM(R297,R294,R300,R303,R306,R309)</f>
        <v>0</v>
      </c>
      <c r="Z434" s="290" t="str">
        <f t="shared" ca="1" si="1"/>
        <v>--</v>
      </c>
    </row>
    <row r="435" spans="19:26" ht="13.9" customHeight="1" x14ac:dyDescent="0.3">
      <c r="S435" s="292" t="s">
        <v>671</v>
      </c>
      <c r="T435" s="288"/>
      <c r="U435" s="288"/>
      <c r="V435" s="288"/>
      <c r="W435" s="288" t="s">
        <v>642</v>
      </c>
      <c r="X435" s="288" t="s">
        <v>385</v>
      </c>
      <c r="Y435" s="289">
        <f>SUM(R298,R299,R301,R302,R304,R305,R307,R308,R310,R311)</f>
        <v>0</v>
      </c>
      <c r="Z435" s="290" t="str">
        <f t="shared" ca="1" si="1"/>
        <v>--</v>
      </c>
    </row>
    <row r="436" spans="19:26" ht="13.9" customHeight="1" x14ac:dyDescent="0.3">
      <c r="S436" s="292" t="str">
        <f>B313</f>
        <v>Poistetun maan jatkokäsittely vastaanottopaikassa</v>
      </c>
      <c r="T436" s="288"/>
      <c r="U436" s="288"/>
      <c r="V436" s="288"/>
      <c r="W436" s="288" t="s">
        <v>662</v>
      </c>
      <c r="X436" s="288" t="s">
        <v>385</v>
      </c>
      <c r="Y436" s="289">
        <f>SUM(R315,R317)</f>
        <v>0</v>
      </c>
      <c r="Z436" s="290" t="str">
        <f t="shared" ca="1" si="1"/>
        <v>--</v>
      </c>
    </row>
    <row r="437" spans="19:26" ht="13.9" customHeight="1" x14ac:dyDescent="0.3">
      <c r="S437" s="292" t="s">
        <v>672</v>
      </c>
      <c r="T437" s="288"/>
      <c r="U437" s="288"/>
      <c r="V437" s="288"/>
      <c r="W437" s="288" t="s">
        <v>642</v>
      </c>
      <c r="X437" s="288" t="s">
        <v>385</v>
      </c>
      <c r="Y437" s="289">
        <f>SUM(R318)</f>
        <v>0</v>
      </c>
      <c r="Z437" s="290" t="str">
        <f t="shared" ca="1" si="1"/>
        <v>--</v>
      </c>
    </row>
    <row r="438" spans="19:26" ht="13.9" customHeight="1" x14ac:dyDescent="0.3">
      <c r="S438" s="23"/>
      <c r="Y438" s="235"/>
      <c r="Z438" s="284"/>
    </row>
    <row r="439" spans="19:26" ht="13.9" customHeight="1" x14ac:dyDescent="0.3">
      <c r="S439" s="23" t="s">
        <v>643</v>
      </c>
      <c r="Y439" s="293">
        <f ca="1">SUM(Y434,Y436,Y429:Y430,Y423:Y425,Y419:Y420,Y414:Y416,Y409,Y402)</f>
        <v>0</v>
      </c>
      <c r="Z439" s="284">
        <f ca="1">SUM(Z434,Z436,Z429:Z430,Z423:Z425,Z419:Z420,Z414:Z416,Z409,Z402)</f>
        <v>0</v>
      </c>
    </row>
    <row r="440" spans="19:26" ht="13.9" customHeight="1" x14ac:dyDescent="0.3">
      <c r="S440" s="103"/>
      <c r="Y440" s="235"/>
    </row>
    <row r="441" spans="19:26" ht="13.9" customHeight="1" x14ac:dyDescent="0.3">
      <c r="S441" s="103" t="s">
        <v>659</v>
      </c>
      <c r="X441" s="235"/>
      <c r="Y441" s="235">
        <f>SUM(Y413)</f>
        <v>0</v>
      </c>
    </row>
    <row r="442" spans="19:26" ht="13.9" customHeight="1" x14ac:dyDescent="0.3">
      <c r="S442" s="103" t="s">
        <v>660</v>
      </c>
      <c r="Y442" s="234" t="s">
        <v>661</v>
      </c>
    </row>
    <row r="444" spans="19:26" ht="13.9" customHeight="1" x14ac:dyDescent="0.3">
      <c r="S444" s="103" t="s">
        <v>386</v>
      </c>
      <c r="Y444" s="235">
        <f>SUM(Y437,Y435)</f>
        <v>0</v>
      </c>
    </row>
    <row r="446" spans="19:26" ht="13.9" hidden="1" customHeight="1" x14ac:dyDescent="0.3"/>
    <row r="447" spans="19:26" ht="13.9" hidden="1" customHeight="1" x14ac:dyDescent="0.3"/>
    <row r="448" spans="19:26" ht="13.9" hidden="1" customHeight="1" x14ac:dyDescent="0.3"/>
    <row r="449" ht="13.9" hidden="1" customHeight="1" x14ac:dyDescent="0.3"/>
    <row r="450" ht="13.9" hidden="1" customHeight="1" x14ac:dyDescent="0.3"/>
    <row r="451" ht="13.9" hidden="1" customHeight="1" x14ac:dyDescent="0.3"/>
    <row r="452" ht="13.9" hidden="1" customHeight="1" x14ac:dyDescent="0.3"/>
    <row r="453" ht="13.9" hidden="1" customHeight="1" x14ac:dyDescent="0.3"/>
    <row r="454" ht="13.9" hidden="1" customHeight="1" x14ac:dyDescent="0.3"/>
    <row r="455" ht="13.9" hidden="1" customHeight="1" x14ac:dyDescent="0.3"/>
    <row r="456" ht="13.9" hidden="1" customHeight="1" x14ac:dyDescent="0.3"/>
    <row r="457" ht="13.9" hidden="1" customHeight="1" x14ac:dyDescent="0.3"/>
    <row r="458" ht="13.9" hidden="1" customHeight="1" x14ac:dyDescent="0.3"/>
    <row r="459" ht="13.9" hidden="1" customHeight="1" x14ac:dyDescent="0.3"/>
    <row r="460" ht="13.9" hidden="1" customHeight="1" x14ac:dyDescent="0.3"/>
    <row r="461" ht="13.9" hidden="1" customHeight="1" x14ac:dyDescent="0.3"/>
    <row r="462" ht="13.9" hidden="1" customHeight="1" x14ac:dyDescent="0.3"/>
    <row r="463" ht="13.9" hidden="1" customHeight="1" x14ac:dyDescent="0.3"/>
    <row r="464" ht="13.9" hidden="1" customHeight="1" x14ac:dyDescent="0.3"/>
    <row r="465" spans="19:22" ht="13.9" customHeight="1" x14ac:dyDescent="0.3">
      <c r="S465" s="103" t="s">
        <v>654</v>
      </c>
      <c r="U465" s="235">
        <f>SUMIFS($Y$402:$Y$437,$W$402:$W$437,S465)</f>
        <v>0</v>
      </c>
      <c r="V465" s="284" t="str">
        <f ca="1">IF(ISERROR(U465/$U$471),"--",U465/$U$471)</f>
        <v>--</v>
      </c>
    </row>
    <row r="466" spans="19:22" ht="13.9" customHeight="1" x14ac:dyDescent="0.3">
      <c r="S466" s="103" t="s">
        <v>40</v>
      </c>
      <c r="U466" s="235">
        <f t="shared" ref="U466:U470" ca="1" si="2">SUMIFS($Y$402:$Y$437,$W$402:$W$437,S466)</f>
        <v>0</v>
      </c>
      <c r="V466" s="284" t="str">
        <f t="shared" ref="V466:V471" ca="1" si="3">IF(ISERROR(U466/$U$471),"--",U466/$U$471)</f>
        <v>--</v>
      </c>
    </row>
    <row r="467" spans="19:22" ht="13.9" customHeight="1" x14ac:dyDescent="0.3">
      <c r="S467" s="103" t="s">
        <v>655</v>
      </c>
      <c r="U467" s="235">
        <f t="shared" si="2"/>
        <v>0</v>
      </c>
      <c r="V467" s="284" t="str">
        <f t="shared" ca="1" si="3"/>
        <v>--</v>
      </c>
    </row>
    <row r="468" spans="19:22" ht="13.9" customHeight="1" x14ac:dyDescent="0.3">
      <c r="S468" s="103" t="s">
        <v>656</v>
      </c>
      <c r="U468" s="235">
        <f t="shared" si="2"/>
        <v>0</v>
      </c>
      <c r="V468" s="284" t="str">
        <f t="shared" ca="1" si="3"/>
        <v>--</v>
      </c>
    </row>
    <row r="469" spans="19:22" ht="13.9" customHeight="1" x14ac:dyDescent="0.3">
      <c r="S469" s="103" t="s">
        <v>657</v>
      </c>
      <c r="U469" s="235">
        <f t="shared" si="2"/>
        <v>0</v>
      </c>
      <c r="V469" s="284" t="str">
        <f t="shared" ca="1" si="3"/>
        <v>--</v>
      </c>
    </row>
    <row r="470" spans="19:22" ht="13.9" customHeight="1" x14ac:dyDescent="0.3">
      <c r="S470" s="103" t="s">
        <v>663</v>
      </c>
      <c r="U470" s="235">
        <f t="shared" si="2"/>
        <v>0</v>
      </c>
      <c r="V470" s="284" t="str">
        <f t="shared" ca="1" si="3"/>
        <v>--</v>
      </c>
    </row>
    <row r="471" spans="19:22" ht="13.9" customHeight="1" x14ac:dyDescent="0.3">
      <c r="S471" s="103" t="s">
        <v>667</v>
      </c>
      <c r="U471" s="235">
        <f ca="1">SUM(U465:U470)</f>
        <v>0</v>
      </c>
      <c r="V471" s="284" t="str">
        <f t="shared" ca="1" si="3"/>
        <v>--</v>
      </c>
    </row>
    <row r="483" ht="12.75" customHeight="1" x14ac:dyDescent="0.3"/>
  </sheetData>
  <mergeCells count="67">
    <mergeCell ref="C141:D141"/>
    <mergeCell ref="C144:D144"/>
    <mergeCell ref="C326:D326"/>
    <mergeCell ref="B149:H149"/>
    <mergeCell ref="B150:H150"/>
    <mergeCell ref="C186:D186"/>
    <mergeCell ref="C187:G187"/>
    <mergeCell ref="C154:D154"/>
    <mergeCell ref="C170:D170"/>
    <mergeCell ref="C178:D178"/>
    <mergeCell ref="C182:D182"/>
    <mergeCell ref="C183:D183"/>
    <mergeCell ref="C174:D174"/>
    <mergeCell ref="C175:D175"/>
    <mergeCell ref="C179:G179"/>
    <mergeCell ref="C157:D157"/>
    <mergeCell ref="C73:G73"/>
    <mergeCell ref="C78:G78"/>
    <mergeCell ref="C83:G83"/>
    <mergeCell ref="C87:D87"/>
    <mergeCell ref="C127:D127"/>
    <mergeCell ref="C103:G103"/>
    <mergeCell ref="C173:D173"/>
    <mergeCell ref="C162:D162"/>
    <mergeCell ref="C132:D132"/>
    <mergeCell ref="C108:G108"/>
    <mergeCell ref="C113:G113"/>
    <mergeCell ref="C118:G118"/>
    <mergeCell ref="C123:G123"/>
    <mergeCell ref="C155:G155"/>
    <mergeCell ref="C138:D138"/>
    <mergeCell ref="C163:G163"/>
    <mergeCell ref="C171:G171"/>
    <mergeCell ref="C158:D158"/>
    <mergeCell ref="C159:D159"/>
    <mergeCell ref="C165:D165"/>
    <mergeCell ref="C166:D166"/>
    <mergeCell ref="C167:D167"/>
    <mergeCell ref="C279:G279"/>
    <mergeCell ref="C221:D221"/>
    <mergeCell ref="C248:G248"/>
    <mergeCell ref="C239:D239"/>
    <mergeCell ref="C215:G215"/>
    <mergeCell ref="C264:G264"/>
    <mergeCell ref="C269:G269"/>
    <mergeCell ref="C274:G274"/>
    <mergeCell ref="C197:G197"/>
    <mergeCell ref="C203:G203"/>
    <mergeCell ref="C209:G209"/>
    <mergeCell ref="C189:D189"/>
    <mergeCell ref="C181:D181"/>
    <mergeCell ref="C284:G284"/>
    <mergeCell ref="C252:G252"/>
    <mergeCell ref="C256:G256"/>
    <mergeCell ref="C11:G11"/>
    <mergeCell ref="C16:G16"/>
    <mergeCell ref="C21:G21"/>
    <mergeCell ref="C26:D26"/>
    <mergeCell ref="C68:G68"/>
    <mergeCell ref="C40:G40"/>
    <mergeCell ref="C47:G47"/>
    <mergeCell ref="C51:G51"/>
    <mergeCell ref="C63:G63"/>
    <mergeCell ref="C55:G55"/>
    <mergeCell ref="C190:D190"/>
    <mergeCell ref="C191:D191"/>
    <mergeCell ref="C135:D135"/>
  </mergeCells>
  <conditionalFormatting sqref="G62">
    <cfRule type="expression" dxfId="141" priority="29">
      <formula>(D62="t")</formula>
    </cfRule>
  </conditionalFormatting>
  <conditionalFormatting sqref="G67">
    <cfRule type="expression" dxfId="140" priority="28">
      <formula>(D67="t")</formula>
    </cfRule>
  </conditionalFormatting>
  <conditionalFormatting sqref="G72">
    <cfRule type="expression" dxfId="139" priority="27">
      <formula>(D72="t")</formula>
    </cfRule>
  </conditionalFormatting>
  <conditionalFormatting sqref="G77">
    <cfRule type="expression" dxfId="138" priority="26">
      <formula>(D77="t")</formula>
    </cfRule>
  </conditionalFormatting>
  <conditionalFormatting sqref="G82">
    <cfRule type="expression" dxfId="137" priority="25">
      <formula>(D82="t")</formula>
    </cfRule>
  </conditionalFormatting>
  <conditionalFormatting sqref="G263">
    <cfRule type="expression" dxfId="136" priority="17">
      <formula>(D263="t")</formula>
    </cfRule>
  </conditionalFormatting>
  <conditionalFormatting sqref="G268">
    <cfRule type="expression" dxfId="135" priority="15">
      <formula>(D268="t")</formula>
    </cfRule>
  </conditionalFormatting>
  <conditionalFormatting sqref="G273">
    <cfRule type="expression" dxfId="134" priority="14">
      <formula>(D273="t")</formula>
    </cfRule>
  </conditionalFormatting>
  <conditionalFormatting sqref="G278">
    <cfRule type="expression" dxfId="133" priority="13">
      <formula>(D278="t")</formula>
    </cfRule>
  </conditionalFormatting>
  <conditionalFormatting sqref="G283">
    <cfRule type="expression" dxfId="132" priority="16">
      <formula>(D283="t")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&amp;L&amp;"-,Lihavoitu"&amp;12PIIP-laskentatyökalu&amp;REristäminen
Sivu &amp;P/&amp;N</oddHeader>
    <oddFooter>&amp;L&amp;G&amp;R&amp;G</oddFooter>
  </headerFooter>
  <ignoredErrors>
    <ignoredError sqref="K300 R300 K303 R303 K306 R306 K309 R309"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33" id="{7FA70147-C12B-4EF9-B283-F0A3AC66F44E}">
            <xm:f>$C$157=Pudotusvalikot!$D$68</xm:f>
            <x14:dxf>
              <fill>
                <patternFill>
                  <bgColor theme="2" tint="0.59996337778862885"/>
                </patternFill>
              </fill>
            </x14:dxf>
          </x14:cfRule>
          <xm:sqref>L39</xm:sqref>
        </x14:conditionalFormatting>
        <x14:conditionalFormatting xmlns:xm="http://schemas.microsoft.com/office/excel/2006/main">
          <x14:cfRule type="expression" priority="32" id="{F9767CC1-D832-484E-B75A-07423CCC79AB}">
            <xm:f>#REF!=Pudotusvalikot!$D$68</xm:f>
            <x14:dxf>
              <fill>
                <patternFill>
                  <bgColor theme="2" tint="0.59996337778862885"/>
                </patternFill>
              </fill>
            </x14:dxf>
          </x14:cfRule>
          <xm:sqref>L47 L252 L256</xm:sqref>
        </x14:conditionalFormatting>
        <x14:conditionalFormatting xmlns:xm="http://schemas.microsoft.com/office/excel/2006/main">
          <x14:cfRule type="expression" priority="64" id="{77D94A36-76E7-4643-AB6F-E48D70DBF7EA}">
            <xm:f>$C$47=Pudotusvalikot!$D$68</xm:f>
            <x14:dxf>
              <fill>
                <patternFill>
                  <bgColor theme="2" tint="0.59996337778862885"/>
                </patternFill>
              </fill>
            </x14:dxf>
          </x14:cfRule>
          <xm:sqref>L48 L52 L56 L240</xm:sqref>
        </x14:conditionalFormatting>
        <x14:conditionalFormatting xmlns:xm="http://schemas.microsoft.com/office/excel/2006/main">
          <x14:cfRule type="expression" priority="31" id="{0BEFFAED-A30F-4FDA-903C-96E2BE480ECF}">
            <xm:f>#REF!=Pudotusvalikot!$D$68</xm:f>
            <x14:dxf>
              <fill>
                <patternFill>
                  <bgColor theme="2" tint="0.59996337778862885"/>
                </patternFill>
              </fill>
            </x14:dxf>
          </x14:cfRule>
          <xm:sqref>L51</xm:sqref>
        </x14:conditionalFormatting>
        <x14:conditionalFormatting xmlns:xm="http://schemas.microsoft.com/office/excel/2006/main">
          <x14:cfRule type="expression" priority="30" id="{B3BBC15D-713D-4FEA-868E-3602EE09AABC}">
            <xm:f>#REF!=Pudotusvalikot!$D$68</xm:f>
            <x14:dxf>
              <fill>
                <patternFill>
                  <bgColor theme="2" tint="0.59996337778862885"/>
                </patternFill>
              </fill>
            </x14:dxf>
          </x14:cfRule>
          <xm:sqref>L55</xm:sqref>
        </x14:conditionalFormatting>
        <x14:conditionalFormatting xmlns:xm="http://schemas.microsoft.com/office/excel/2006/main">
          <x14:cfRule type="expression" priority="24" id="{FB512CBC-5946-43D0-B980-147C79FF8D7F}">
            <xm:f>$C$56=Pudotusvalikot!$D$68</xm:f>
            <x14:dxf>
              <fill>
                <patternFill>
                  <bgColor theme="2" tint="0.59996337778862885"/>
                </patternFill>
              </fill>
            </x14:dxf>
          </x14:cfRule>
          <xm:sqref>L196</xm:sqref>
        </x14:conditionalFormatting>
        <x14:conditionalFormatting xmlns:xm="http://schemas.microsoft.com/office/excel/2006/main">
          <x14:cfRule type="expression" priority="23" id="{EB490BA9-6D57-44E6-A1E3-39FA204B235F}">
            <xm:f>$C$56=Pudotusvalikot!$D$68</xm:f>
            <x14:dxf>
              <fill>
                <patternFill>
                  <bgColor theme="2" tint="0.59996337778862885"/>
                </patternFill>
              </fill>
            </x14:dxf>
          </x14:cfRule>
          <xm:sqref>L202</xm:sqref>
        </x14:conditionalFormatting>
        <x14:conditionalFormatting xmlns:xm="http://schemas.microsoft.com/office/excel/2006/main">
          <x14:cfRule type="expression" priority="22" id="{FFA24FE1-55E2-47BE-A4CF-FF8DDC1B4EE8}">
            <xm:f>$C$56=Pudotusvalikot!$D$68</xm:f>
            <x14:dxf>
              <fill>
                <patternFill>
                  <bgColor theme="2" tint="0.59996337778862885"/>
                </patternFill>
              </fill>
            </x14:dxf>
          </x14:cfRule>
          <xm:sqref>L208</xm:sqref>
        </x14:conditionalFormatting>
        <x14:conditionalFormatting xmlns:xm="http://schemas.microsoft.com/office/excel/2006/main">
          <x14:cfRule type="expression" priority="21" id="{2DBE1695-0936-480D-B22E-B21E57004662}">
            <xm:f>$C$56=Pudotusvalikot!$D$68</xm:f>
            <x14:dxf>
              <fill>
                <patternFill>
                  <bgColor theme="2" tint="0.59996337778862885"/>
                </patternFill>
              </fill>
            </x14:dxf>
          </x14:cfRule>
          <xm:sqref>L214</xm:sqref>
        </x14:conditionalFormatting>
        <x14:conditionalFormatting xmlns:xm="http://schemas.microsoft.com/office/excel/2006/main">
          <x14:cfRule type="expression" priority="20" id="{C42BA276-855D-4F63-AEFA-B39D314FC651}">
            <xm:f>#REF!=Pudotusvalikot!$D$68</xm:f>
            <x14:dxf>
              <fill>
                <patternFill>
                  <bgColor theme="2" tint="0.59996337778862885"/>
                </patternFill>
              </fill>
            </x14:dxf>
          </x14:cfRule>
          <xm:sqref>L221:L222</xm:sqref>
        </x14:conditionalFormatting>
        <x14:conditionalFormatting xmlns:xm="http://schemas.microsoft.com/office/excel/2006/main">
          <x14:cfRule type="expression" priority="19" id="{BB76E21D-5EFD-4152-A7B2-2CC2DD8CEAC7}">
            <xm:f>#REF!=Pudotusvalikot!$D$68</xm:f>
            <x14:dxf>
              <fill>
                <patternFill>
                  <bgColor theme="2" tint="0.59996337778862885"/>
                </patternFill>
              </fill>
            </x14:dxf>
          </x14:cfRule>
          <xm:sqref>L229</xm:sqref>
        </x14:conditionalFormatting>
        <x14:conditionalFormatting xmlns:xm="http://schemas.microsoft.com/office/excel/2006/main">
          <x14:cfRule type="expression" priority="2" id="{FC1E72DF-2E99-4175-B977-5F9BA5DFCCC7}">
            <xm:f>$C$55=Pudotusvalikot!$D$68</xm:f>
            <x14:dxf>
              <fill>
                <patternFill>
                  <bgColor theme="2" tint="0.59996337778862885"/>
                </patternFill>
              </fill>
            </x14:dxf>
          </x14:cfRule>
          <xm:sqref>L235 L317:L318 L326</xm:sqref>
        </x14:conditionalFormatting>
        <x14:conditionalFormatting xmlns:xm="http://schemas.microsoft.com/office/excel/2006/main">
          <x14:cfRule type="expression" priority="3" id="{F8215AB4-D393-40A6-9B26-4FE285B1E836}">
            <xm:f>$C$55=Pudotusvalikot!$D$68</xm:f>
            <x14:dxf>
              <fill>
                <patternFill>
                  <bgColor theme="2" tint="0.59996337778862885"/>
                </patternFill>
              </fill>
            </x14:dxf>
          </x14:cfRule>
          <xm:sqref>L237</xm:sqref>
        </x14:conditionalFormatting>
        <x14:conditionalFormatting xmlns:xm="http://schemas.microsoft.com/office/excel/2006/main">
          <x14:cfRule type="expression" priority="12" id="{90A70341-5F89-449E-B779-386CCA760F44}">
            <xm:f>$C$55=Pudotusvalikot!$D$68</xm:f>
            <x14:dxf>
              <fill>
                <patternFill>
                  <bgColor theme="2" tint="0.59996337778862885"/>
                </patternFill>
              </fill>
            </x14:dxf>
          </x14:cfRule>
          <xm:sqref>L239</xm:sqref>
        </x14:conditionalFormatting>
        <x14:conditionalFormatting xmlns:xm="http://schemas.microsoft.com/office/excel/2006/main">
          <x14:cfRule type="expression" priority="18" id="{265DD817-1194-4186-BD42-023A97136927}">
            <xm:f>#REF!=Pudotusvalikot!$D$68</xm:f>
            <x14:dxf>
              <fill>
                <patternFill>
                  <bgColor theme="2" tint="0.59996337778862885"/>
                </patternFill>
              </fill>
            </x14:dxf>
          </x14:cfRule>
          <xm:sqref>L248</xm:sqref>
        </x14:conditionalFormatting>
        <x14:conditionalFormatting xmlns:xm="http://schemas.microsoft.com/office/excel/2006/main">
          <x14:cfRule type="expression" priority="11" id="{93180109-785C-42F9-AA59-FCEF7B7FB4EB}">
            <xm:f>$C$55=Pudotusvalikot!$D$68</xm:f>
            <x14:dxf>
              <fill>
                <patternFill>
                  <bgColor theme="2" tint="0.59996337778862885"/>
                </patternFill>
              </fill>
            </x14:dxf>
          </x14:cfRule>
          <xm:sqref>L294</xm:sqref>
        </x14:conditionalFormatting>
        <x14:conditionalFormatting xmlns:xm="http://schemas.microsoft.com/office/excel/2006/main">
          <x14:cfRule type="expression" priority="5" id="{6F7E43DF-43D5-4A2F-A181-EECEA2EDC104}">
            <xm:f>$C$55=Pudotusvalikot!$D$68</xm:f>
            <x14:dxf>
              <fill>
                <patternFill>
                  <bgColor theme="2" tint="0.59996337778862885"/>
                </patternFill>
              </fill>
            </x14:dxf>
          </x14:cfRule>
          <xm:sqref>L297:L311</xm:sqref>
        </x14:conditionalFormatting>
        <x14:conditionalFormatting xmlns:xm="http://schemas.microsoft.com/office/excel/2006/main">
          <x14:cfRule type="expression" priority="10" id="{12075CF6-A8C1-4D75-866E-487F3A9632E4}">
            <xm:f>$C$55=Pudotusvalikot!$D$68</xm:f>
            <x14:dxf>
              <fill>
                <patternFill>
                  <bgColor theme="2" tint="0.59996337778862885"/>
                </patternFill>
              </fill>
            </x14:dxf>
          </x14:cfRule>
          <xm:sqref>L315</xm:sqref>
        </x14:conditionalFormatting>
        <x14:conditionalFormatting xmlns:xm="http://schemas.microsoft.com/office/excel/2006/main">
          <x14:cfRule type="expression" priority="1" id="{1D42F23C-9BA7-47AE-BD24-1A1B70B2CE4A}">
            <xm:f>$C$55=Pudotusvalikot!$D$68</xm:f>
            <x14:dxf>
              <fill>
                <patternFill>
                  <bgColor theme="2" tint="0.59996337778862885"/>
                </patternFill>
              </fill>
            </x14:dxf>
          </x14:cfRule>
          <xm:sqref>L324</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CDFA0B6-DAC2-4179-B8E4-717152AEC41D}">
          <x14:formula1>
            <xm:f>Pudotusvalikot!$T$3:$T$7</xm:f>
          </x14:formula1>
          <xm:sqref>D223</xm:sqref>
        </x14:dataValidation>
        <x14:dataValidation type="list" allowBlank="1" showInputMessage="1" showErrorMessage="1" xr:uid="{2ED62E02-1744-43F1-99B7-15D5661A4D76}">
          <x14:formula1>
            <xm:f>Pudotusvalikot!$D$14:$D$65</xm:f>
          </x14:formula1>
          <xm:sqref>C123 C264 C269 C274 C279 C284 C187 C155 C179 C171 C163 C108 C113 C118 C21 C16 C11 C103 C68 C73 C78 C83 C63</xm:sqref>
        </x14:dataValidation>
        <x14:dataValidation type="list" errorStyle="warning" allowBlank="1" showInputMessage="1" showErrorMessage="1" xr:uid="{54FFA16E-0EFB-49EE-B138-93B3D3CDA0CE}">
          <x14:formula1>
            <xm:f>Pudotusvalikot!$B$3:$B$5</xm:f>
          </x14:formula1>
          <xm:sqref>C26 C87 C127 C287:C289</xm:sqref>
        </x14:dataValidation>
        <x14:dataValidation type="list" allowBlank="1" showInputMessage="1" showErrorMessage="1" xr:uid="{956AE537-52DF-4292-BF66-AEEDDB5D0B04}">
          <x14:formula1>
            <xm:f>Pudotusvalikot!$D$67:$D$92</xm:f>
          </x14:formula1>
          <xm:sqref>C252 C256 C248</xm:sqref>
        </x14:dataValidation>
        <x14:dataValidation type="list" allowBlank="1" showInputMessage="1" showErrorMessage="1" xr:uid="{696565FB-D60A-405E-BCCE-B95A848CC4A2}">
          <x14:formula1>
            <xm:f>Pudotusvalikot!$D$67:$D$106</xm:f>
          </x14:formula1>
          <xm:sqref>C40 C215 C209 C55 C203 C197 C51 C47</xm:sqref>
        </x14:dataValidation>
        <x14:dataValidation type="list" allowBlank="1" showInputMessage="1" showErrorMessage="1" xr:uid="{11B52452-3682-4B0E-83EB-ACE8F5784A84}">
          <x14:formula1>
            <xm:f>Pudotusvalikot!$J$3:$J$9</xm:f>
          </x14:formula1>
          <xm:sqref>C240</xm:sqref>
        </x14:dataValidation>
        <x14:dataValidation type="list" allowBlank="1" showInputMessage="1" showErrorMessage="1" xr:uid="{886E70EB-3C0E-4E2F-AA6B-C910A00A59F3}">
          <x14:formula1>
            <xm:f>Pudotusvalikot!$N$3:$N$7</xm:f>
          </x14:formula1>
          <xm:sqref>C157:C159 C165:C167 C181:C183 C173:C175 C189:C191</xm:sqref>
        </x14:dataValidation>
        <x14:dataValidation type="list" allowBlank="1" showInputMessage="1" showErrorMessage="1" xr:uid="{66DBC860-C427-4C5D-8D51-0DA573AE4722}">
          <x14:formula1>
            <xm:f>Pudotusvalikot!$H$3:$H$8</xm:f>
          </x14:formula1>
          <xm:sqref>F42 D42 D205 D199 D217 D211</xm:sqref>
        </x14:dataValidation>
        <x14:dataValidation type="list" allowBlank="1" showInputMessage="1" showErrorMessage="1" xr:uid="{25C7AB24-2FBC-4C91-BD04-4AE121CD3BE2}">
          <x14:formula1>
            <xm:f>Pudotusvalikot!$F$3:$F$7</xm:f>
          </x14:formula1>
          <xm:sqref>D67 D77 D91:D95 D273 D82 D278 D268 D283 D72 D62 D39 F97 D97 D263</xm:sqref>
        </x14:dataValidation>
        <x14:dataValidation type="list" allowBlank="1" showInputMessage="1" showErrorMessage="1" xr:uid="{D2B1F575-DACD-493B-B981-1902E3C1AFCE}">
          <x14:formula1>
            <xm:f>Pudotusvalikot!$V$3:$V$9</xm:f>
          </x14:formula1>
          <xm:sqref>C12 C17 C22 C31 C33 C35 C41 C48 C52 C56 C64 C69 C74 C79 C84 C104 C109 C114 C119 C124 C156 C164 C172 C180 C188 C198 C204 C210 C216 C249 C253 C257 C265 C270 C275 C280 C285 C316 C295</xm:sqref>
        </x14:dataValidation>
        <x14:dataValidation type="list" allowBlank="1" showInputMessage="1" showErrorMessage="1" xr:uid="{B3D0B81E-81E0-4F29-AEDD-6A37BB171A8B}">
          <x14:formula1>
            <xm:f>Pudotusvalikot!$X$3:$X$7</xm:f>
          </x14:formula1>
          <xm:sqref>D225</xm:sqref>
        </x14:dataValidation>
        <x14:dataValidation type="list" allowBlank="1" showInputMessage="1" showErrorMessage="1" xr:uid="{A5471BE1-C267-4B20-B78D-4550975678A8}">
          <x14:formula1>
            <xm:f>Pudotusvalikot!$R$3:$R$11</xm:f>
          </x14:formula1>
          <xm:sqref>C221</xm:sqref>
        </x14:dataValidation>
        <x14:dataValidation type="list" allowBlank="1" showInputMessage="1" showErrorMessage="1" xr:uid="{8E825C90-6C82-4735-BEA4-68EB79CA9BAD}">
          <x14:formula1>
            <xm:f>Pudotusvalikot!$J$3:$J$11</xm:f>
          </x14:formula1>
          <xm:sqref>C239 C326</xm:sqref>
        </x14:dataValidation>
        <x14:dataValidation type="list" errorStyle="warning" allowBlank="1" showInputMessage="1" showErrorMessage="1" xr:uid="{EBFEE745-BB72-429D-BC7E-469EE5BF2E11}">
          <x14:formula1>
            <xm:f>Pudotusvalikot!$F$14:$F$28</xm:f>
          </x14:formula1>
          <xm:sqref>C132:D132 C144:D144 C141:D141 C138:D138 C135:D135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B283D-5790-4F2D-A630-F644426CA329}">
  <sheetPr codeName="Sheet5">
    <tabColor theme="5" tint="0.79998168889431442"/>
  </sheetPr>
  <dimension ref="B1:BG472"/>
  <sheetViews>
    <sheetView zoomScaleNormal="100" zoomScaleSheetLayoutView="85" workbookViewId="0">
      <pane xSplit="2" ySplit="2" topLeftCell="C3" activePane="bottomRight" state="frozen"/>
      <selection pane="topRight" activeCell="C1" sqref="C1"/>
      <selection pane="bottomLeft" activeCell="A3" sqref="A3"/>
      <selection pane="bottomRight" activeCell="C4" sqref="C4"/>
    </sheetView>
  </sheetViews>
  <sheetFormatPr defaultColWidth="9" defaultRowHeight="13.9" customHeight="1" x14ac:dyDescent="0.3"/>
  <cols>
    <col min="1" max="1" width="2.75" style="5" customWidth="1"/>
    <col min="2" max="2" width="88.5" style="5" customWidth="1"/>
    <col min="3" max="3" width="20.75" style="13" customWidth="1"/>
    <col min="4" max="4" width="12.75" style="87" bestFit="1" customWidth="1"/>
    <col min="5" max="5" width="2.25" style="5" customWidth="1"/>
    <col min="6" max="6" width="3.75" style="5" customWidth="1"/>
    <col min="7" max="7" width="20.75" style="13" customWidth="1"/>
    <col min="8" max="8" width="8.25" style="87" customWidth="1"/>
    <col min="9" max="9" width="9.75" style="5" customWidth="1"/>
    <col min="10" max="10" width="60.75" style="15" customWidth="1"/>
    <col min="11" max="12" width="15.75" style="13" customWidth="1"/>
    <col min="13" max="13" width="11.5" style="87" bestFit="1" customWidth="1"/>
    <col min="14" max="14" width="2.58203125" style="87" customWidth="1"/>
    <col min="15" max="15" width="80.58203125" style="87" customWidth="1"/>
    <col min="16" max="16" width="2.75" style="5" customWidth="1"/>
    <col min="17" max="17" width="2.75" style="142" customWidth="1"/>
    <col min="18" max="18" width="15.75" style="143" customWidth="1"/>
    <col min="19" max="19" width="15.75" style="144" customWidth="1"/>
    <col min="20" max="20" width="26.83203125" style="23" bestFit="1" customWidth="1"/>
    <col min="21" max="37" width="25.75" style="22" customWidth="1"/>
    <col min="38" max="39" width="15.75" style="22" customWidth="1"/>
    <col min="40" max="41" width="9" style="22"/>
    <col min="42" max="59" width="9" style="23"/>
    <col min="60" max="16384" width="9" style="5"/>
  </cols>
  <sheetData>
    <row r="1" spans="2:59" s="31" customFormat="1" ht="15.5" x14ac:dyDescent="0.3">
      <c r="C1" s="34"/>
      <c r="D1" s="84"/>
      <c r="G1" s="34"/>
      <c r="H1" s="84"/>
      <c r="J1" s="33"/>
      <c r="K1" s="34"/>
      <c r="L1" s="34"/>
      <c r="M1" s="84"/>
      <c r="N1" s="84"/>
      <c r="O1" s="84"/>
      <c r="Q1" s="133"/>
      <c r="R1" s="98"/>
      <c r="S1" s="108"/>
      <c r="T1" s="37"/>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3">
      <c r="B2" s="8" t="s">
        <v>45</v>
      </c>
      <c r="C2" s="375"/>
      <c r="D2" s="376"/>
      <c r="E2" s="377"/>
      <c r="F2" s="378" t="s">
        <v>643</v>
      </c>
      <c r="G2" s="379" t="str">
        <f>IF(OR(ISNUMBER(C4),ISNUMBER(C5)),U472,"")</f>
        <v/>
      </c>
      <c r="H2" s="380" t="s">
        <v>172</v>
      </c>
      <c r="J2" s="26"/>
      <c r="K2" s="27"/>
      <c r="L2" s="27"/>
      <c r="M2" s="85"/>
      <c r="N2" s="85"/>
      <c r="O2" s="85"/>
      <c r="Q2" s="139"/>
      <c r="R2" s="140"/>
      <c r="S2" s="141"/>
      <c r="T2" s="30"/>
      <c r="U2" s="29"/>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5" x14ac:dyDescent="0.3">
      <c r="C3" s="34"/>
      <c r="D3" s="84"/>
      <c r="G3" s="34"/>
      <c r="H3" s="84"/>
      <c r="J3" s="33"/>
      <c r="K3" s="34"/>
      <c r="L3" s="34"/>
      <c r="M3" s="84"/>
      <c r="N3" s="84"/>
      <c r="O3" s="84"/>
      <c r="Q3" s="133"/>
      <c r="R3" s="98"/>
      <c r="S3" s="108"/>
      <c r="T3" s="37"/>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5" customHeight="1" x14ac:dyDescent="0.3">
      <c r="B4" s="81" t="s">
        <v>747</v>
      </c>
      <c r="C4" s="154"/>
      <c r="D4" s="84" t="str">
        <f>IF(ISBLANK(C4),"%","")</f>
        <v>%</v>
      </c>
      <c r="G4" s="175" t="str">
        <f>IF(ISNUMBER(C4),C4*'Kohdetiedot ja yhteenveto'!D12,"")</f>
        <v/>
      </c>
      <c r="H4" s="84" t="s">
        <v>175</v>
      </c>
      <c r="J4" s="33"/>
      <c r="K4" s="34"/>
      <c r="L4" s="34"/>
      <c r="M4" s="84"/>
      <c r="N4" s="84"/>
      <c r="O4" s="84"/>
      <c r="Q4" s="133"/>
      <c r="R4" s="98"/>
      <c r="S4" s="108"/>
      <c r="T4" s="37"/>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25" customHeight="1" x14ac:dyDescent="0.3">
      <c r="B5" s="81" t="s">
        <v>748</v>
      </c>
      <c r="C5" s="154"/>
      <c r="D5" s="84" t="str">
        <f>IF(ISBLANK(C5),"%","")</f>
        <v>%</v>
      </c>
      <c r="G5" s="175" t="str">
        <f>IF(ISNUMBER(C5),C5*'Kohdetiedot ja yhteenveto'!D13,"")</f>
        <v/>
      </c>
      <c r="H5" s="84" t="s">
        <v>210</v>
      </c>
      <c r="J5" s="33"/>
      <c r="K5" s="34"/>
      <c r="L5" s="34"/>
      <c r="M5" s="84"/>
      <c r="N5" s="84"/>
      <c r="O5" s="84"/>
      <c r="Q5" s="108"/>
      <c r="R5" s="98"/>
      <c r="S5" s="108"/>
      <c r="T5" s="37"/>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31" customFormat="1" ht="15.5" x14ac:dyDescent="0.3">
      <c r="C6" s="34"/>
      <c r="D6" s="84"/>
      <c r="G6" s="34"/>
      <c r="H6" s="84"/>
      <c r="J6" s="33"/>
      <c r="P6" s="69"/>
      <c r="Q6" s="108"/>
      <c r="R6" s="98"/>
      <c r="S6" s="108"/>
      <c r="T6" s="37"/>
      <c r="U6" s="36"/>
      <c r="V6" s="36"/>
      <c r="W6" s="36"/>
      <c r="X6" s="36"/>
      <c r="Y6" s="36"/>
      <c r="Z6" s="36"/>
      <c r="AA6" s="36"/>
      <c r="AB6" s="36"/>
      <c r="AC6" s="36"/>
      <c r="AD6" s="36"/>
      <c r="AE6" s="36"/>
      <c r="AF6" s="36"/>
      <c r="AG6" s="36"/>
      <c r="AH6" s="36"/>
      <c r="AI6" s="36"/>
      <c r="AJ6" s="36"/>
      <c r="AK6" s="36"/>
      <c r="AL6" s="36"/>
      <c r="AM6" s="36"/>
      <c r="AN6" s="36"/>
      <c r="AO6" s="36"/>
      <c r="AP6" s="37"/>
      <c r="AQ6" s="37"/>
      <c r="AR6" s="37"/>
      <c r="AS6" s="37"/>
      <c r="AT6" s="37"/>
      <c r="AU6" s="37"/>
      <c r="AV6" s="37"/>
      <c r="AW6" s="37"/>
      <c r="AX6" s="37"/>
      <c r="AY6" s="37"/>
      <c r="AZ6" s="37"/>
      <c r="BA6" s="37"/>
      <c r="BB6" s="37"/>
      <c r="BC6" s="37"/>
      <c r="BD6" s="37"/>
      <c r="BE6" s="37"/>
      <c r="BF6" s="37"/>
      <c r="BG6" s="37"/>
    </row>
    <row r="7" spans="2:59" s="196" customFormat="1" ht="23" x14ac:dyDescent="0.3">
      <c r="B7" s="197" t="s">
        <v>625</v>
      </c>
      <c r="C7" s="198"/>
      <c r="D7" s="199"/>
      <c r="G7" s="198"/>
      <c r="H7" s="199"/>
      <c r="J7" s="200"/>
      <c r="P7" s="201"/>
      <c r="Q7" s="202"/>
      <c r="R7" s="203"/>
      <c r="S7" s="202"/>
      <c r="T7" s="204"/>
      <c r="U7" s="205"/>
      <c r="V7" s="205"/>
      <c r="W7" s="205"/>
      <c r="X7" s="205"/>
      <c r="Y7" s="205"/>
      <c r="Z7" s="205"/>
      <c r="AA7" s="205"/>
      <c r="AB7" s="205"/>
      <c r="AC7" s="205"/>
      <c r="AD7" s="205"/>
      <c r="AE7" s="205"/>
      <c r="AF7" s="205"/>
      <c r="AG7" s="205"/>
      <c r="AH7" s="205"/>
      <c r="AI7" s="205"/>
      <c r="AJ7" s="205"/>
      <c r="AK7" s="205"/>
      <c r="AL7" s="205"/>
      <c r="AM7" s="205"/>
      <c r="AN7" s="205"/>
      <c r="AO7" s="205"/>
      <c r="AP7" s="204"/>
      <c r="AQ7" s="204"/>
      <c r="AR7" s="204"/>
      <c r="AS7" s="204"/>
      <c r="AT7" s="204"/>
      <c r="AU7" s="204"/>
      <c r="AV7" s="204"/>
      <c r="AW7" s="204"/>
      <c r="AX7" s="204"/>
      <c r="AY7" s="204"/>
      <c r="AZ7" s="204"/>
      <c r="BA7" s="204"/>
      <c r="BB7" s="204"/>
      <c r="BC7" s="204"/>
      <c r="BD7" s="204"/>
      <c r="BE7" s="204"/>
      <c r="BF7" s="204"/>
      <c r="BG7" s="204"/>
    </row>
    <row r="8" spans="2:59" s="31" customFormat="1" ht="15.5" x14ac:dyDescent="0.3">
      <c r="C8" s="34"/>
      <c r="D8" s="84"/>
      <c r="G8" s="34"/>
      <c r="H8" s="84"/>
      <c r="J8" s="33"/>
      <c r="K8" s="34"/>
      <c r="L8" s="34"/>
      <c r="M8" s="84"/>
      <c r="N8" s="84"/>
      <c r="O8" s="84"/>
      <c r="Q8" s="133"/>
      <c r="R8" s="98"/>
      <c r="S8" s="108"/>
      <c r="T8" s="37"/>
      <c r="U8" s="36"/>
      <c r="V8" s="36"/>
      <c r="W8" s="36"/>
      <c r="X8" s="36"/>
      <c r="Y8" s="36"/>
      <c r="Z8" s="36"/>
      <c r="AA8" s="36"/>
      <c r="AB8" s="36"/>
      <c r="AC8" s="36"/>
      <c r="AD8" s="36"/>
      <c r="AE8" s="36"/>
      <c r="AF8" s="36"/>
      <c r="AG8" s="36"/>
      <c r="AH8" s="36"/>
      <c r="AI8" s="36"/>
      <c r="AJ8" s="36"/>
      <c r="AK8" s="36"/>
      <c r="AL8" s="36"/>
      <c r="AM8" s="36"/>
      <c r="AN8" s="36"/>
      <c r="AO8" s="36"/>
      <c r="AP8" s="37"/>
      <c r="AQ8" s="37"/>
      <c r="AR8" s="37"/>
      <c r="AS8" s="37"/>
      <c r="AT8" s="37"/>
      <c r="AU8" s="37"/>
      <c r="AV8" s="37"/>
      <c r="AW8" s="37"/>
      <c r="AX8" s="37"/>
      <c r="AY8" s="37"/>
      <c r="AZ8" s="37"/>
      <c r="BA8" s="37"/>
      <c r="BB8" s="37"/>
      <c r="BC8" s="37"/>
      <c r="BD8" s="37"/>
      <c r="BE8" s="37"/>
      <c r="BF8" s="37"/>
      <c r="BG8" s="37"/>
    </row>
    <row r="9" spans="2:59" s="298" customFormat="1" ht="18" x14ac:dyDescent="0.3">
      <c r="B9" s="295" t="s">
        <v>483</v>
      </c>
      <c r="C9" s="296"/>
      <c r="D9" s="297"/>
      <c r="G9" s="296"/>
      <c r="H9" s="297"/>
      <c r="K9" s="296"/>
      <c r="L9" s="296"/>
      <c r="M9" s="297"/>
      <c r="N9" s="297"/>
      <c r="O9" s="300"/>
      <c r="P9" s="320"/>
      <c r="Q9" s="304"/>
      <c r="S9" s="303"/>
      <c r="T9" s="303"/>
      <c r="U9" s="303"/>
      <c r="V9" s="303"/>
      <c r="W9" s="303"/>
      <c r="X9" s="303"/>
      <c r="Y9" s="303"/>
      <c r="Z9" s="303"/>
      <c r="AA9" s="303"/>
      <c r="AB9" s="303"/>
      <c r="AC9" s="303"/>
      <c r="AD9" s="303"/>
      <c r="AE9" s="303"/>
      <c r="AF9" s="303"/>
      <c r="AG9" s="303"/>
      <c r="AH9" s="303"/>
      <c r="AI9" s="303"/>
      <c r="AJ9" s="303"/>
      <c r="AK9" s="303"/>
      <c r="AL9" s="303"/>
      <c r="AM9" s="303"/>
      <c r="AN9" s="304"/>
      <c r="AO9" s="304"/>
      <c r="AP9" s="304"/>
      <c r="AQ9" s="304"/>
      <c r="AR9" s="304"/>
      <c r="AS9" s="304"/>
      <c r="AT9" s="304"/>
      <c r="AU9" s="304"/>
      <c r="AV9" s="304"/>
      <c r="AW9" s="304"/>
      <c r="AX9" s="304"/>
      <c r="AY9" s="304"/>
      <c r="AZ9" s="304"/>
      <c r="BA9" s="304"/>
      <c r="BB9" s="304"/>
      <c r="BC9" s="304"/>
      <c r="BD9" s="304"/>
      <c r="BE9" s="304"/>
    </row>
    <row r="10" spans="2:59" s="31" customFormat="1" ht="15.5" x14ac:dyDescent="0.3">
      <c r="B10" s="9"/>
      <c r="C10" s="34"/>
      <c r="D10" s="84"/>
      <c r="G10" s="34"/>
      <c r="H10" s="84"/>
      <c r="K10" s="38"/>
      <c r="L10" s="38"/>
      <c r="M10" s="84"/>
      <c r="N10" s="84"/>
      <c r="O10" s="255" t="s">
        <v>644</v>
      </c>
      <c r="Q10" s="35"/>
      <c r="R10" s="44" t="s">
        <v>350</v>
      </c>
      <c r="S10" s="36"/>
      <c r="T10" s="36"/>
      <c r="U10" s="36"/>
      <c r="V10" s="44"/>
      <c r="W10" s="36"/>
      <c r="X10" s="44"/>
      <c r="Y10" s="44"/>
      <c r="Z10" s="44"/>
      <c r="AA10" s="44"/>
      <c r="AB10" s="44"/>
      <c r="AC10" s="44"/>
      <c r="AD10" s="44"/>
      <c r="AE10" s="44"/>
      <c r="AF10" s="44"/>
      <c r="AG10" s="44"/>
      <c r="AH10" s="44"/>
      <c r="AI10" s="36"/>
      <c r="AJ10" s="36"/>
      <c r="AK10" s="36"/>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15.5" x14ac:dyDescent="0.3">
      <c r="B11" s="172" t="s">
        <v>438</v>
      </c>
      <c r="C11" s="34"/>
      <c r="D11" s="84"/>
      <c r="G11" s="34"/>
      <c r="H11" s="84"/>
      <c r="K11" s="38" t="s">
        <v>329</v>
      </c>
      <c r="L11" s="38" t="s">
        <v>201</v>
      </c>
      <c r="M11" s="84"/>
      <c r="N11" s="84"/>
      <c r="O11" s="256"/>
      <c r="Q11" s="35"/>
      <c r="R11" s="36" t="s">
        <v>172</v>
      </c>
      <c r="S11" s="36"/>
      <c r="T11" s="36" t="s">
        <v>446</v>
      </c>
      <c r="U11" s="36" t="s">
        <v>445</v>
      </c>
      <c r="V11" s="44" t="s">
        <v>443</v>
      </c>
      <c r="W11" s="36" t="s">
        <v>444</v>
      </c>
      <c r="X11" s="44" t="s">
        <v>447</v>
      </c>
      <c r="Y11" s="44" t="s">
        <v>449</v>
      </c>
      <c r="Z11" s="44" t="s">
        <v>448</v>
      </c>
      <c r="AA11" s="44" t="s">
        <v>202</v>
      </c>
      <c r="AB11" s="44" t="s">
        <v>380</v>
      </c>
      <c r="AC11" s="44" t="s">
        <v>450</v>
      </c>
      <c r="AD11" s="44" t="s">
        <v>381</v>
      </c>
      <c r="AE11" s="44" t="s">
        <v>451</v>
      </c>
      <c r="AF11" s="44" t="s">
        <v>452</v>
      </c>
      <c r="AG11" s="44" t="s">
        <v>638</v>
      </c>
      <c r="AH11" s="36" t="s">
        <v>206</v>
      </c>
      <c r="AI11" s="36" t="s">
        <v>278</v>
      </c>
      <c r="AJ11" s="36" t="s">
        <v>207</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46.5" x14ac:dyDescent="0.3">
      <c r="B12" s="170" t="s">
        <v>504</v>
      </c>
      <c r="C12" s="392" t="s">
        <v>93</v>
      </c>
      <c r="D12" s="393"/>
      <c r="E12" s="393"/>
      <c r="F12" s="393"/>
      <c r="G12" s="394"/>
      <c r="H12" s="169"/>
      <c r="J12" s="173" t="s">
        <v>441</v>
      </c>
      <c r="K12" s="96">
        <f>IF(ISNUMBER(L12),L12,IF(OR(C12=Pudotusvalikot!$D$14,C12=Pudotusvalikot!$D$15),Kalusto!$G$96,VLOOKUP(C12,Kalusto!$C$44:$G$83,5,FALSE))*IF(OR(C13=Pudotusvalikot!$V$3,C13=Pudotusvalikot!$V$4),Muut!$E$38,IF(C13=Pudotusvalikot!$V$5,Muut!$E$39,IF(C13=Pudotusvalikot!$V$6,Muut!$E$40,Muut!$E$41))))</f>
        <v>5.7709999999999997E-2</v>
      </c>
      <c r="L12" s="40"/>
      <c r="M12" s="41" t="s">
        <v>200</v>
      </c>
      <c r="N12" s="41"/>
      <c r="O12" s="265"/>
      <c r="Q12" s="47"/>
      <c r="R12" s="50" t="str">
        <f ca="1">IF(AND(NOT(ISNUMBER(AB12)),NOT(ISNUMBER(AG12))),"",IF(ISNUMBER(AB12),AB12,0)+IF(ISNUMBER(AG12),AG12,0))</f>
        <v/>
      </c>
      <c r="S12" s="102" t="s">
        <v>484</v>
      </c>
      <c r="T12" s="48" t="str">
        <f>IF(ISNUMBER(L12),"Kohdetieto",IF(OR(C12=Pudotusvalikot!$D$14,C12=Pudotusvalikot!$D$15),Kalusto!$I$96,VLOOKUP(C12,Kalusto!$C$44:$L$83,7,FALSE)))</f>
        <v>Puoliperävaunu</v>
      </c>
      <c r="U12" s="48">
        <f>IF(ISNUMBER(L12),"Kohdetieto",IF(OR(C12=Pudotusvalikot!$D$14,C12=Pudotusvalikot!$D$15),Kalusto!$J$96,VLOOKUP(C12,Kalusto!$C$44:$L$83,8,FALSE)))</f>
        <v>40</v>
      </c>
      <c r="V12" s="49">
        <f>IF(ISNUMBER(L12),"Kohdetieto",IF(OR(C12=Pudotusvalikot!$D$14,C12=Pudotusvalikot!$D$15),Kalusto!$K$96,VLOOKUP(C12,Kalusto!$C$44:$L$83,9,FALSE)))</f>
        <v>0.8</v>
      </c>
      <c r="W12" s="49" t="str">
        <f>IF(ISNUMBER(L12),"Kohdetieto",IF(OR(C12=Pudotusvalikot!$D$14,C12=Pudotusvalikot!$D$15),Kalusto!$L$96,VLOOKUP(C12,Kalusto!$C$44:$L$83,10,FALSE)))</f>
        <v>maantieajo</v>
      </c>
      <c r="X12" s="50" t="str">
        <f>IF(ISBLANK(C14),"",C14)</f>
        <v/>
      </c>
      <c r="Y12" s="48" t="str">
        <f>IF(ISNUMBER(C15),C15,"")</f>
        <v/>
      </c>
      <c r="Z12" s="50" t="str">
        <f>IF(ISNUMBER(X12/(U12*V12)*Y12),X12/(U12*V12)*Y12,"")</f>
        <v/>
      </c>
      <c r="AA12" s="51">
        <f>IF(ISNUMBER(L12),L12,K12)</f>
        <v>5.7709999999999997E-2</v>
      </c>
      <c r="AB12" s="50" t="str">
        <f>IF(ISNUMBER(Y12*X12*K12),Y12*X12*K12,"")</f>
        <v/>
      </c>
      <c r="AC12" s="50" t="str">
        <f>IF(C27="Kyllä",Y12,"")</f>
        <v/>
      </c>
      <c r="AD12" s="50" t="str">
        <f>IF(C27="Kyllä",IF(ISNUMBER(X12/(U12*V12)),CEILING(X12/(U12*V12),1),""),"")</f>
        <v/>
      </c>
      <c r="AE12" s="50" t="str">
        <f>IF(ISNUMBER(AD12*AC12),AD12*AC12,"")</f>
        <v/>
      </c>
      <c r="AF12" s="51">
        <f ca="1">IF(ISNUMBER(L14),L14,K14)</f>
        <v>0.81247999999999998</v>
      </c>
      <c r="AG12" s="50" t="str">
        <f ca="1">IF(ISNUMBER(AC12*AD12*K14),AC12*AD12*K14,"")</f>
        <v/>
      </c>
      <c r="AH12" s="48">
        <f>IF(T12="Jakelukuorma-auto",0,IF(T12="Maansiirtoauto",4,IF(T12="Puoliperävaunu",6,8)))</f>
        <v>6</v>
      </c>
      <c r="AI12" s="48">
        <f>IF(AND(T12="Jakelukuorma-auto",U12=6),0,IF(AND(T12="Jakelukuorma-auto",U12=15),2,0))</f>
        <v>0</v>
      </c>
      <c r="AJ12" s="48">
        <f>IF(W12="maantieajo",0,1)</f>
        <v>0</v>
      </c>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5" x14ac:dyDescent="0.3">
      <c r="B13" s="186" t="s">
        <v>506</v>
      </c>
      <c r="C13" s="160" t="s">
        <v>242</v>
      </c>
      <c r="D13" s="34"/>
      <c r="E13" s="34"/>
      <c r="F13" s="34"/>
      <c r="G13" s="34"/>
      <c r="H13" s="59"/>
      <c r="J13" s="173"/>
      <c r="K13" s="173"/>
      <c r="L13" s="173"/>
      <c r="M13" s="41"/>
      <c r="N13" s="41"/>
      <c r="O13" s="265"/>
      <c r="Q13" s="47"/>
      <c r="R13" s="36"/>
      <c r="S13" s="36"/>
      <c r="T13" s="36"/>
      <c r="U13" s="36"/>
      <c r="V13" s="181"/>
      <c r="W13" s="181"/>
      <c r="X13" s="61"/>
      <c r="Y13" s="36"/>
      <c r="Z13" s="61"/>
      <c r="AA13" s="182"/>
      <c r="AB13" s="61"/>
      <c r="AC13" s="61"/>
      <c r="AD13" s="61"/>
      <c r="AE13" s="61"/>
      <c r="AF13" s="182"/>
      <c r="AG13" s="61"/>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5" x14ac:dyDescent="0.3">
      <c r="B14" s="45" t="s">
        <v>573</v>
      </c>
      <c r="C14" s="156"/>
      <c r="D14" s="84" t="s">
        <v>52</v>
      </c>
      <c r="G14" s="34"/>
      <c r="H14" s="84"/>
      <c r="J14" s="33" t="s">
        <v>442</v>
      </c>
      <c r="K14" s="96">
        <f ca="1">IF(ISNUMBER(L14),L14,IF($C$140="Ei","",IF(AND($C$140="Kyllä",OR(C12=Pudotusvalikot!$D$14,C12=Pudotusvalikot!$D$15)),Kalusto!$G$97,OFFSET(Kalusto!$G$85,AH12+AJ12+AI12,0,1,1)))*IF(OR(C13=Pudotusvalikot!$V$3,C13=Pudotusvalikot!$V$4),Muut!$E$38,IF(C13=Pudotusvalikot!$V$5,Muut!$E$39,IF(C13=Pudotusvalikot!$V$6,Muut!$E$40,Muut!$E$41))))</f>
        <v>0.81247999999999998</v>
      </c>
      <c r="L14" s="40"/>
      <c r="M14" s="41" t="s">
        <v>204</v>
      </c>
      <c r="N14" s="41"/>
      <c r="O14" s="265"/>
      <c r="P14" s="34"/>
      <c r="Q14" s="52"/>
      <c r="R14" s="50" t="str">
        <f ca="1">IF(ISNUMBER(R12),R12,"")</f>
        <v/>
      </c>
      <c r="S14" s="102" t="s">
        <v>485</v>
      </c>
      <c r="T14" s="36"/>
      <c r="U14" s="36"/>
      <c r="V14" s="36"/>
      <c r="W14" s="36"/>
      <c r="X14" s="36"/>
      <c r="Y14" s="36"/>
      <c r="Z14" s="36"/>
      <c r="AA14" s="36"/>
      <c r="AB14" s="36"/>
      <c r="AC14" s="36"/>
      <c r="AD14" s="36"/>
      <c r="AE14" s="36"/>
      <c r="AF14" s="36"/>
      <c r="AG14" s="36"/>
      <c r="AH14" s="36"/>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5" x14ac:dyDescent="0.3">
      <c r="B15" s="45" t="s">
        <v>574</v>
      </c>
      <c r="C15" s="156"/>
      <c r="D15" s="84" t="s">
        <v>5</v>
      </c>
      <c r="G15" s="34"/>
      <c r="H15" s="84"/>
      <c r="I15" s="53"/>
      <c r="J15" s="53"/>
      <c r="K15" s="34"/>
      <c r="L15" s="34"/>
      <c r="M15" s="84"/>
      <c r="N15" s="84"/>
      <c r="O15" s="100"/>
      <c r="P15" s="53"/>
      <c r="Q15" s="52"/>
      <c r="R15" s="44" t="s">
        <v>350</v>
      </c>
      <c r="S15" s="37"/>
      <c r="T15" s="36"/>
      <c r="U15" s="36"/>
      <c r="V15" s="44"/>
      <c r="W15" s="36"/>
      <c r="X15" s="44"/>
      <c r="Y15" s="44"/>
      <c r="Z15" s="44"/>
      <c r="AA15" s="44"/>
      <c r="AB15" s="44"/>
      <c r="AC15" s="44"/>
      <c r="AD15" s="44"/>
      <c r="AE15" s="44"/>
      <c r="AF15" s="44"/>
      <c r="AG15" s="44"/>
      <c r="AH15" s="44"/>
      <c r="AI15" s="36"/>
      <c r="AJ15" s="36"/>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15.5" x14ac:dyDescent="0.3">
      <c r="B16" s="172" t="s">
        <v>439</v>
      </c>
      <c r="C16" s="34"/>
      <c r="D16" s="84"/>
      <c r="G16" s="34"/>
      <c r="H16" s="84"/>
      <c r="J16" s="33"/>
      <c r="K16" s="38" t="s">
        <v>329</v>
      </c>
      <c r="L16" s="38" t="s">
        <v>201</v>
      </c>
      <c r="M16" s="84"/>
      <c r="N16" s="84"/>
      <c r="O16" s="100"/>
      <c r="P16" s="34"/>
      <c r="Q16" s="35"/>
      <c r="R16" s="36" t="s">
        <v>172</v>
      </c>
      <c r="S16" s="36"/>
      <c r="T16" s="36" t="s">
        <v>446</v>
      </c>
      <c r="U16" s="36" t="s">
        <v>445</v>
      </c>
      <c r="V16" s="44" t="s">
        <v>443</v>
      </c>
      <c r="W16" s="36" t="s">
        <v>444</v>
      </c>
      <c r="X16" s="44" t="s">
        <v>447</v>
      </c>
      <c r="Y16" s="44" t="s">
        <v>449</v>
      </c>
      <c r="Z16" s="44" t="s">
        <v>448</v>
      </c>
      <c r="AA16" s="44" t="s">
        <v>202</v>
      </c>
      <c r="AB16" s="44" t="s">
        <v>380</v>
      </c>
      <c r="AC16" s="44" t="s">
        <v>450</v>
      </c>
      <c r="AD16" s="44" t="s">
        <v>381</v>
      </c>
      <c r="AE16" s="44" t="s">
        <v>451</v>
      </c>
      <c r="AF16" s="44" t="s">
        <v>452</v>
      </c>
      <c r="AG16" s="44" t="s">
        <v>638</v>
      </c>
      <c r="AH16" s="36" t="s">
        <v>206</v>
      </c>
      <c r="AI16" s="36" t="s">
        <v>278</v>
      </c>
      <c r="AJ16" s="36" t="s">
        <v>207</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46.5" x14ac:dyDescent="0.3">
      <c r="B17" s="170" t="s">
        <v>504</v>
      </c>
      <c r="C17" s="392" t="s">
        <v>93</v>
      </c>
      <c r="D17" s="393"/>
      <c r="E17" s="393"/>
      <c r="F17" s="393"/>
      <c r="G17" s="394"/>
      <c r="H17" s="169"/>
      <c r="J17" s="173" t="s">
        <v>441</v>
      </c>
      <c r="K17" s="96">
        <f>IF(ISNUMBER(L17),L17,IF(OR(C17=Pudotusvalikot!$D$14,C17=Pudotusvalikot!$D$15),Kalusto!$G$96,VLOOKUP(C17,Kalusto!$C$44:$G$83,5,FALSE))*IF(OR(C18=Pudotusvalikot!$V$3,C18=Pudotusvalikot!$V$4),Muut!$E$38,IF(C18=Pudotusvalikot!$V$5,Muut!$E$39,IF(C18=Pudotusvalikot!$V$6,Muut!$E$40,Muut!$E$41))))</f>
        <v>5.7709999999999997E-2</v>
      </c>
      <c r="L17" s="40"/>
      <c r="M17" s="41" t="s">
        <v>200</v>
      </c>
      <c r="N17" s="41"/>
      <c r="O17" s="265"/>
      <c r="Q17" s="47"/>
      <c r="R17" s="50" t="str">
        <f ca="1">IF(AND(NOT(ISNUMBER(AB17)),NOT(ISNUMBER(AG17))),"",IF(ISNUMBER(AB17),AB17,0)+IF(ISNUMBER(AG17),AG17,0))</f>
        <v/>
      </c>
      <c r="S17" s="102" t="s">
        <v>484</v>
      </c>
      <c r="T17" s="48" t="str">
        <f>IF(ISNUMBER(L17),"Kohdetieto",IF(OR(C17=Pudotusvalikot!$D$14,C17=Pudotusvalikot!$D$15),Kalusto!$I$96,VLOOKUP(C17,Kalusto!$C$44:$L$83,7,FALSE)))</f>
        <v>Puoliperävaunu</v>
      </c>
      <c r="U17" s="48">
        <f>IF(ISNUMBER(L17),"Kohdetieto",IF(OR(C17=Pudotusvalikot!$D$14,C17=Pudotusvalikot!$D$15),Kalusto!$J$96,VLOOKUP(C17,Kalusto!$C$44:$L$83,8,FALSE)))</f>
        <v>40</v>
      </c>
      <c r="V17" s="49">
        <f>IF(ISNUMBER(L17),"Kohdetieto",IF(OR(C17=Pudotusvalikot!$D$14,C17=Pudotusvalikot!$D$15),Kalusto!$K$96,VLOOKUP(C17,Kalusto!$C$44:$L$83,9,FALSE)))</f>
        <v>0.8</v>
      </c>
      <c r="W17" s="49" t="str">
        <f>IF(ISNUMBER(L17),"Kohdetieto",IF(OR(C17=Pudotusvalikot!$D$14,C17=Pudotusvalikot!$D$15),Kalusto!$L$96,VLOOKUP(C17,Kalusto!$C$44:$L$83,10,FALSE)))</f>
        <v>maantieajo</v>
      </c>
      <c r="X17" s="50" t="str">
        <f>IF(ISBLANK(C19),"",C19)</f>
        <v/>
      </c>
      <c r="Y17" s="48" t="str">
        <f>IF(ISNUMBER(C20),C20,"")</f>
        <v/>
      </c>
      <c r="Z17" s="50" t="str">
        <f>IF(ISNUMBER(X17/(U17*V17)*Y17),X17/(U17*V17)*Y17,"")</f>
        <v/>
      </c>
      <c r="AA17" s="51">
        <f>IF(ISNUMBER(L17),L17,K17)</f>
        <v>5.7709999999999997E-2</v>
      </c>
      <c r="AB17" s="50" t="str">
        <f>IF(ISNUMBER(Y17*X17*K17),Y17*X17*K17,"")</f>
        <v/>
      </c>
      <c r="AC17" s="50" t="str">
        <f>IF(C32="Kyllä",Y17,"")</f>
        <v/>
      </c>
      <c r="AD17" s="50" t="str">
        <f>IF(C32="Kyllä",IF(ISNUMBER(X17/(U17*V17)),CEILING(X17/(U17*V17),1),""),"")</f>
        <v/>
      </c>
      <c r="AE17" s="50" t="str">
        <f>IF(ISNUMBER(AD17*AC17),AD17*AC17,"")</f>
        <v/>
      </c>
      <c r="AF17" s="51">
        <f ca="1">IF(ISNUMBER(L19),L19,K19)</f>
        <v>0.81247999999999998</v>
      </c>
      <c r="AG17" s="50" t="str">
        <f ca="1">IF(ISNUMBER(AC17*AD17*K19),AC17*AD17*K19,"")</f>
        <v/>
      </c>
      <c r="AH17" s="48">
        <f>IF(T17="Jakelukuorma-auto",0,IF(T17="Maansiirtoauto",4,IF(T17="Puoliperävaunu",6,8)))</f>
        <v>6</v>
      </c>
      <c r="AI17" s="48">
        <f>IF(AND(T17="Jakelukuorma-auto",U17=6),0,IF(AND(T17="Jakelukuorma-auto",U17=15),2,0))</f>
        <v>0</v>
      </c>
      <c r="AJ17" s="48">
        <f>IF(W17="maantieajo",0,1)</f>
        <v>0</v>
      </c>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5" x14ac:dyDescent="0.3">
      <c r="B18" s="186" t="s">
        <v>506</v>
      </c>
      <c r="C18" s="160" t="s">
        <v>242</v>
      </c>
      <c r="D18" s="34"/>
      <c r="E18" s="34"/>
      <c r="F18" s="34"/>
      <c r="G18" s="34"/>
      <c r="H18" s="59"/>
      <c r="J18" s="173"/>
      <c r="K18" s="173"/>
      <c r="L18" s="173"/>
      <c r="M18" s="41"/>
      <c r="N18" s="41"/>
      <c r="O18" s="265"/>
      <c r="Q18" s="47"/>
      <c r="R18" s="36"/>
      <c r="S18" s="36"/>
      <c r="T18" s="36"/>
      <c r="U18" s="36"/>
      <c r="V18" s="181"/>
      <c r="W18" s="181"/>
      <c r="X18" s="61"/>
      <c r="Y18" s="36"/>
      <c r="Z18" s="61"/>
      <c r="AA18" s="182"/>
      <c r="AB18" s="61"/>
      <c r="AC18" s="61"/>
      <c r="AD18" s="61"/>
      <c r="AE18" s="61"/>
      <c r="AF18" s="182"/>
      <c r="AG18" s="61"/>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5" x14ac:dyDescent="0.3">
      <c r="B19" s="45" t="s">
        <v>573</v>
      </c>
      <c r="C19" s="157"/>
      <c r="D19" s="84" t="s">
        <v>52</v>
      </c>
      <c r="G19" s="34"/>
      <c r="H19" s="84"/>
      <c r="J19" s="33" t="s">
        <v>442</v>
      </c>
      <c r="K19" s="96">
        <f ca="1">IF(ISNUMBER(L19),L19,IF($C$140="Ei","",IF(AND($C$140="Kyllä",OR(C17=Pudotusvalikot!$D$14,C17=Pudotusvalikot!$D$15)),Kalusto!$G$97,OFFSET(Kalusto!$G$85,AH17+AJ17+AI17,0,1,1)))*IF(OR(C18=Pudotusvalikot!$V$3,C18=Pudotusvalikot!$V$4),Muut!$E$38,IF(C18=Pudotusvalikot!$V$5,Muut!$E$39,IF(C18=Pudotusvalikot!$V$6,Muut!$E$40,Muut!$E$41))))</f>
        <v>0.81247999999999998</v>
      </c>
      <c r="L19" s="40"/>
      <c r="M19" s="41" t="s">
        <v>204</v>
      </c>
      <c r="N19" s="41"/>
      <c r="O19" s="265"/>
      <c r="P19" s="34"/>
      <c r="Q19" s="52"/>
      <c r="R19" s="50" t="str">
        <f ca="1">IF(ISNUMBER(R17),R17,"")</f>
        <v/>
      </c>
      <c r="S19" s="102" t="s">
        <v>485</v>
      </c>
      <c r="T19" s="36"/>
      <c r="U19" s="36"/>
      <c r="V19" s="36"/>
      <c r="W19" s="36"/>
      <c r="X19" s="36"/>
      <c r="Y19" s="36"/>
      <c r="Z19" s="36"/>
      <c r="AA19" s="36"/>
      <c r="AB19" s="36"/>
      <c r="AC19" s="36"/>
      <c r="AD19" s="36"/>
      <c r="AE19" s="36"/>
      <c r="AF19" s="36"/>
      <c r="AG19" s="36"/>
      <c r="AH19" s="36"/>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5" x14ac:dyDescent="0.3">
      <c r="B20" s="45" t="s">
        <v>574</v>
      </c>
      <c r="C20" s="158"/>
      <c r="D20" s="84" t="s">
        <v>5</v>
      </c>
      <c r="G20" s="34"/>
      <c r="H20" s="84"/>
      <c r="I20" s="53"/>
      <c r="J20" s="53"/>
      <c r="K20" s="34"/>
      <c r="L20" s="34"/>
      <c r="M20" s="84"/>
      <c r="N20" s="84"/>
      <c r="O20" s="100"/>
      <c r="P20" s="53"/>
      <c r="Q20" s="52"/>
      <c r="R20" s="44" t="s">
        <v>350</v>
      </c>
      <c r="S20" s="36"/>
      <c r="T20" s="36"/>
      <c r="U20" s="36"/>
      <c r="V20" s="44"/>
      <c r="W20" s="36"/>
      <c r="X20" s="44"/>
      <c r="Y20" s="44"/>
      <c r="Z20" s="44"/>
      <c r="AA20" s="44"/>
      <c r="AB20" s="44"/>
      <c r="AC20" s="44"/>
      <c r="AD20" s="44"/>
      <c r="AE20" s="44"/>
      <c r="AF20" s="44"/>
      <c r="AG20" s="44"/>
      <c r="AH20" s="44"/>
      <c r="AI20" s="36"/>
      <c r="AJ20" s="36"/>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15.5" x14ac:dyDescent="0.3">
      <c r="B21" s="172" t="s">
        <v>440</v>
      </c>
      <c r="C21" s="34"/>
      <c r="D21" s="84"/>
      <c r="G21" s="34"/>
      <c r="H21" s="84"/>
      <c r="J21" s="33"/>
      <c r="K21" s="38" t="s">
        <v>329</v>
      </c>
      <c r="L21" s="38" t="s">
        <v>201</v>
      </c>
      <c r="M21" s="84"/>
      <c r="N21" s="84"/>
      <c r="O21" s="100"/>
      <c r="P21" s="34"/>
      <c r="Q21" s="35"/>
      <c r="R21" s="36" t="s">
        <v>172</v>
      </c>
      <c r="S21" s="36"/>
      <c r="T21" s="36" t="s">
        <v>446</v>
      </c>
      <c r="U21" s="36" t="s">
        <v>445</v>
      </c>
      <c r="V21" s="44" t="s">
        <v>443</v>
      </c>
      <c r="W21" s="36" t="s">
        <v>444</v>
      </c>
      <c r="X21" s="44" t="s">
        <v>447</v>
      </c>
      <c r="Y21" s="44" t="s">
        <v>449</v>
      </c>
      <c r="Z21" s="44" t="s">
        <v>448</v>
      </c>
      <c r="AA21" s="44" t="s">
        <v>202</v>
      </c>
      <c r="AB21" s="44" t="s">
        <v>380</v>
      </c>
      <c r="AC21" s="44" t="s">
        <v>450</v>
      </c>
      <c r="AD21" s="44" t="s">
        <v>381</v>
      </c>
      <c r="AE21" s="44" t="s">
        <v>451</v>
      </c>
      <c r="AF21" s="44" t="s">
        <v>452</v>
      </c>
      <c r="AG21" s="44" t="s">
        <v>638</v>
      </c>
      <c r="AH21" s="36" t="s">
        <v>206</v>
      </c>
      <c r="AI21" s="36" t="s">
        <v>278</v>
      </c>
      <c r="AJ21" s="36" t="s">
        <v>207</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46.5" x14ac:dyDescent="0.3">
      <c r="B22" s="170" t="s">
        <v>504</v>
      </c>
      <c r="C22" s="392" t="s">
        <v>93</v>
      </c>
      <c r="D22" s="393"/>
      <c r="E22" s="393"/>
      <c r="F22" s="393"/>
      <c r="G22" s="394"/>
      <c r="H22" s="169"/>
      <c r="J22" s="173" t="s">
        <v>441</v>
      </c>
      <c r="K22" s="96">
        <f>IF(ISNUMBER(L22),L22,IF(OR(C22=Pudotusvalikot!$D$14,C22=Pudotusvalikot!$D$15),Kalusto!$G$96,VLOOKUP(C22,Kalusto!$C$44:$G$83,5,FALSE))*IF(OR(C23=Pudotusvalikot!$V$3,C23=Pudotusvalikot!$V$4),Muut!$E$38,IF(C23=Pudotusvalikot!$V$5,Muut!$E$39,IF(C23=Pudotusvalikot!$V$6,Muut!$E$40,Muut!$E$41))))</f>
        <v>5.7709999999999997E-2</v>
      </c>
      <c r="L22" s="40"/>
      <c r="M22" s="41" t="s">
        <v>200</v>
      </c>
      <c r="N22" s="41"/>
      <c r="O22" s="265"/>
      <c r="Q22" s="47"/>
      <c r="R22" s="50" t="str">
        <f ca="1">IF(AND(NOT(ISNUMBER(AB22)),NOT(ISNUMBER(AG22))),"",IF(ISNUMBER(AB22),AB22,0)+IF(ISNUMBER(AG22),AG22,0))</f>
        <v/>
      </c>
      <c r="S22" s="102" t="s">
        <v>484</v>
      </c>
      <c r="T22" s="48" t="str">
        <f>IF(ISNUMBER(L22),"Kohdetieto",IF(OR(C22=Pudotusvalikot!$D$14,C22=Pudotusvalikot!$D$15),Kalusto!$I$96,VLOOKUP(C22,Kalusto!$C$44:$L$83,7,FALSE)))</f>
        <v>Puoliperävaunu</v>
      </c>
      <c r="U22" s="48">
        <f>IF(ISNUMBER(L22),"Kohdetieto",IF(OR(C22=Pudotusvalikot!$D$14,C22=Pudotusvalikot!$D$15),Kalusto!$J$96,VLOOKUP(C22,Kalusto!$C$44:$L$83,8,FALSE)))</f>
        <v>40</v>
      </c>
      <c r="V22" s="49">
        <f>IF(ISNUMBER(L22),"Kohdetieto",IF(OR(C22=Pudotusvalikot!$D$14,C22=Pudotusvalikot!$D$15),Kalusto!$K$96,VLOOKUP(C22,Kalusto!$C$44:$L$83,9,FALSE)))</f>
        <v>0.8</v>
      </c>
      <c r="W22" s="49" t="str">
        <f>IF(ISNUMBER(L22),"Kohdetieto",IF(OR(C22=Pudotusvalikot!$D$14,C22=Pudotusvalikot!$D$15),Kalusto!$L$96,VLOOKUP(C22,Kalusto!$C$44:$L$83,10,FALSE)))</f>
        <v>maantieajo</v>
      </c>
      <c r="X22" s="50" t="str">
        <f>IF(ISBLANK(C24),"",C24)</f>
        <v/>
      </c>
      <c r="Y22" s="48" t="str">
        <f>IF(ISNUMBER(C25),C25,"")</f>
        <v/>
      </c>
      <c r="Z22" s="50" t="str">
        <f>IF(ISNUMBER(X22/(U22*V22)*Y22),X22/(U22*V22)*Y22,"")</f>
        <v/>
      </c>
      <c r="AA22" s="51">
        <f>IF(ISNUMBER(L22),L22,K22)</f>
        <v>5.7709999999999997E-2</v>
      </c>
      <c r="AB22" s="50" t="str">
        <f>IF(ISNUMBER(Y22*X22*K22),Y22*X22*K22,"")</f>
        <v/>
      </c>
      <c r="AC22" s="50" t="str">
        <f>IF(C39="Kyllä",Y22,"")</f>
        <v/>
      </c>
      <c r="AD22" s="50" t="str">
        <f>IF(C39="Kyllä",IF(ISNUMBER(X22/(U22*V22)),CEILING(X22/(U22*V22),1),""),"")</f>
        <v/>
      </c>
      <c r="AE22" s="50" t="str">
        <f>IF(ISNUMBER(AD22*AC22),AD22*AC22,"")</f>
        <v/>
      </c>
      <c r="AF22" s="51">
        <f ca="1">IF(ISNUMBER(L24),L24,K24)</f>
        <v>0.81247999999999998</v>
      </c>
      <c r="AG22" s="50" t="str">
        <f ca="1">IF(ISNUMBER(AC22*AD22*K24),AC22*AD22*K24,"")</f>
        <v/>
      </c>
      <c r="AH22" s="48">
        <f>IF(T22="Jakelukuorma-auto",0,IF(T22="Maansiirtoauto",4,IF(T22="Puoliperävaunu",6,8)))</f>
        <v>6</v>
      </c>
      <c r="AI22" s="48">
        <f>IF(AND(T22="Jakelukuorma-auto",U22=6),0,IF(AND(T22="Jakelukuorma-auto",U22=15),2,0))</f>
        <v>0</v>
      </c>
      <c r="AJ22" s="48">
        <f>IF(W22="maantieajo",0,1)</f>
        <v>0</v>
      </c>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5" x14ac:dyDescent="0.3">
      <c r="B23" s="186" t="s">
        <v>506</v>
      </c>
      <c r="C23" s="160" t="s">
        <v>242</v>
      </c>
      <c r="D23" s="34"/>
      <c r="E23" s="34"/>
      <c r="F23" s="34"/>
      <c r="G23" s="34"/>
      <c r="H23" s="59"/>
      <c r="J23" s="173"/>
      <c r="K23" s="173"/>
      <c r="L23" s="173"/>
      <c r="M23" s="41"/>
      <c r="N23" s="41"/>
      <c r="O23" s="265"/>
      <c r="Q23" s="47"/>
      <c r="R23" s="36"/>
      <c r="S23" s="36"/>
      <c r="T23" s="36"/>
      <c r="U23" s="36"/>
      <c r="V23" s="181"/>
      <c r="W23" s="181"/>
      <c r="X23" s="61"/>
      <c r="Y23" s="36"/>
      <c r="Z23" s="61"/>
      <c r="AA23" s="182"/>
      <c r="AB23" s="61"/>
      <c r="AC23" s="61"/>
      <c r="AD23" s="61"/>
      <c r="AE23" s="61"/>
      <c r="AF23" s="182"/>
      <c r="AG23" s="61"/>
      <c r="AH23" s="36"/>
      <c r="AI23" s="36"/>
      <c r="AJ23" s="36"/>
      <c r="AK23" s="108"/>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5" x14ac:dyDescent="0.3">
      <c r="B24" s="45" t="s">
        <v>505</v>
      </c>
      <c r="C24" s="156"/>
      <c r="D24" s="84" t="s">
        <v>52</v>
      </c>
      <c r="G24" s="34"/>
      <c r="H24" s="84"/>
      <c r="J24" s="33" t="s">
        <v>442</v>
      </c>
      <c r="K24" s="96">
        <f ca="1">IF(ISNUMBER(L24),L24,IF($C$140="Ei","",IF(AND($C$140="Kyllä",OR(C22=Pudotusvalikot!$D$14,C22=Pudotusvalikot!$D$15)),Kalusto!$G$97,OFFSET(Kalusto!$G$85,AH22+AJ22+AI22,0,1,1)))*IF(OR(C23=Pudotusvalikot!$V$3,C23=Pudotusvalikot!$V$4),Muut!$E$38,IF(C23=Pudotusvalikot!$V$5,Muut!$E$39,IF(C23=Pudotusvalikot!$V$6,Muut!$E$40,Muut!$E$41))))</f>
        <v>0.81247999999999998</v>
      </c>
      <c r="L24" s="40"/>
      <c r="M24" s="41" t="s">
        <v>204</v>
      </c>
      <c r="N24" s="41"/>
      <c r="O24" s="265"/>
      <c r="P24" s="34"/>
      <c r="Q24" s="52"/>
      <c r="R24" s="50" t="str">
        <f ca="1">IF(ISNUMBER(R22),R22,"")</f>
        <v/>
      </c>
      <c r="S24" s="102" t="s">
        <v>485</v>
      </c>
      <c r="T24" s="36"/>
      <c r="U24" s="36"/>
      <c r="V24" s="36"/>
      <c r="W24" s="36"/>
      <c r="X24" s="36"/>
      <c r="Y24" s="36"/>
      <c r="Z24" s="36"/>
      <c r="AA24" s="36"/>
      <c r="AB24" s="36"/>
      <c r="AC24" s="36"/>
      <c r="AD24" s="36"/>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5" x14ac:dyDescent="0.3">
      <c r="B25" s="45" t="s">
        <v>507</v>
      </c>
      <c r="C25" s="156"/>
      <c r="D25" s="84" t="s">
        <v>5</v>
      </c>
      <c r="G25" s="34"/>
      <c r="H25" s="84"/>
      <c r="I25" s="53"/>
      <c r="J25" s="53"/>
      <c r="K25" s="34"/>
      <c r="L25" s="34"/>
      <c r="M25" s="84"/>
      <c r="N25" s="84"/>
      <c r="O25" s="100"/>
      <c r="P25" s="53"/>
      <c r="Q25" s="52"/>
      <c r="R25" s="36"/>
      <c r="S25" s="36"/>
      <c r="T25" s="36"/>
      <c r="U25" s="36"/>
      <c r="V25" s="36"/>
      <c r="W25" s="36"/>
      <c r="X25" s="36"/>
      <c r="Y25" s="36"/>
      <c r="Z25" s="36"/>
      <c r="AA25" s="36"/>
      <c r="AB25" s="36"/>
      <c r="AC25" s="36"/>
      <c r="AD25" s="36"/>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15.5" x14ac:dyDescent="0.3">
      <c r="C26" s="34"/>
      <c r="D26" s="84"/>
      <c r="G26" s="34"/>
      <c r="H26" s="84"/>
      <c r="J26" s="33"/>
      <c r="K26" s="34"/>
      <c r="L26" s="34"/>
      <c r="M26" s="84"/>
      <c r="N26" s="84"/>
      <c r="O26" s="100"/>
      <c r="Q26" s="35"/>
      <c r="R26" s="36"/>
      <c r="S26" s="36"/>
      <c r="T26" s="36"/>
      <c r="U26" s="36"/>
      <c r="V26" s="36"/>
      <c r="W26" s="36"/>
      <c r="X26" s="36"/>
      <c r="Y26" s="36"/>
      <c r="Z26" s="36"/>
      <c r="AA26" s="36"/>
      <c r="AB26" s="36"/>
      <c r="AC26" s="36"/>
      <c r="AD26" s="36"/>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46.5" x14ac:dyDescent="0.3">
      <c r="B27" s="78" t="s">
        <v>668</v>
      </c>
      <c r="C27" s="392" t="s">
        <v>6</v>
      </c>
      <c r="D27" s="394"/>
      <c r="G27" s="82" t="str">
        <f>C27</f>
        <v>Kyllä</v>
      </c>
      <c r="H27" s="84"/>
      <c r="J27" s="33"/>
      <c r="K27" s="34"/>
      <c r="L27" s="34"/>
      <c r="M27" s="84"/>
      <c r="N27" s="84"/>
      <c r="O27" s="100"/>
      <c r="Q27" s="35"/>
      <c r="R27" s="99"/>
      <c r="S27" s="36"/>
      <c r="T27" s="36"/>
      <c r="U27" s="36"/>
      <c r="V27" s="36"/>
      <c r="W27" s="36"/>
      <c r="X27" s="36"/>
      <c r="Y27" s="36"/>
      <c r="Z27" s="36"/>
      <c r="AA27" s="36"/>
      <c r="AB27" s="36"/>
      <c r="AC27" s="36"/>
      <c r="AD27" s="36"/>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31" customFormat="1" ht="15.5" x14ac:dyDescent="0.3">
      <c r="C28" s="34"/>
      <c r="D28" s="84"/>
      <c r="G28" s="34"/>
      <c r="H28" s="84"/>
      <c r="K28" s="34"/>
      <c r="L28" s="34"/>
      <c r="M28" s="84"/>
      <c r="N28" s="84"/>
      <c r="O28" s="84"/>
      <c r="Q28" s="35"/>
      <c r="R28" s="99"/>
      <c r="S28" s="36"/>
      <c r="T28" s="36"/>
      <c r="U28" s="36"/>
      <c r="V28" s="36"/>
      <c r="W28" s="36"/>
      <c r="X28" s="36"/>
      <c r="Y28" s="36"/>
      <c r="Z28" s="36"/>
      <c r="AA28" s="36"/>
      <c r="AB28" s="36"/>
      <c r="AC28" s="36"/>
      <c r="AD28" s="36"/>
      <c r="AE28" s="36"/>
      <c r="AF28" s="36"/>
      <c r="AG28" s="36"/>
      <c r="AH28" s="36"/>
      <c r="AI28" s="36"/>
      <c r="AJ28" s="36"/>
      <c r="AK28" s="36"/>
      <c r="AL28" s="36"/>
      <c r="AM28" s="36"/>
      <c r="AN28" s="37"/>
      <c r="AO28" s="37"/>
      <c r="AP28" s="37"/>
      <c r="AQ28" s="37"/>
      <c r="AR28" s="37"/>
      <c r="AS28" s="37"/>
      <c r="AT28" s="37"/>
      <c r="AU28" s="37"/>
      <c r="AV28" s="37"/>
      <c r="AW28" s="37"/>
      <c r="AX28" s="37"/>
      <c r="AY28" s="37"/>
      <c r="AZ28" s="37"/>
      <c r="BA28" s="37"/>
      <c r="BB28" s="37"/>
      <c r="BC28" s="37"/>
      <c r="BD28" s="37"/>
      <c r="BE28" s="37"/>
    </row>
    <row r="29" spans="2:57" s="298" customFormat="1" ht="18" x14ac:dyDescent="0.3">
      <c r="B29" s="295" t="s">
        <v>508</v>
      </c>
      <c r="C29" s="296"/>
      <c r="D29" s="297"/>
      <c r="G29" s="296"/>
      <c r="H29" s="297"/>
      <c r="K29" s="296"/>
      <c r="L29" s="296"/>
      <c r="M29" s="297"/>
      <c r="N29" s="297"/>
      <c r="O29" s="300"/>
      <c r="P29" s="320"/>
      <c r="Q29" s="304"/>
      <c r="S29" s="303"/>
      <c r="T29" s="303"/>
      <c r="U29" s="303"/>
      <c r="V29" s="303"/>
      <c r="W29" s="303"/>
      <c r="X29" s="303"/>
      <c r="Y29" s="303"/>
      <c r="Z29" s="303"/>
      <c r="AA29" s="303"/>
      <c r="AB29" s="303"/>
      <c r="AC29" s="303"/>
      <c r="AD29" s="303"/>
      <c r="AE29" s="303"/>
      <c r="AF29" s="303"/>
      <c r="AG29" s="303"/>
      <c r="AH29" s="303"/>
      <c r="AI29" s="303"/>
      <c r="AJ29" s="303"/>
      <c r="AK29" s="303"/>
      <c r="AL29" s="303"/>
      <c r="AM29" s="303"/>
      <c r="AN29" s="304"/>
      <c r="AO29" s="304"/>
      <c r="AP29" s="304"/>
      <c r="AQ29" s="304"/>
      <c r="AR29" s="304"/>
      <c r="AS29" s="304"/>
      <c r="AT29" s="304"/>
      <c r="AU29" s="304"/>
      <c r="AV29" s="304"/>
      <c r="AW29" s="304"/>
      <c r="AX29" s="304"/>
      <c r="AY29" s="304"/>
      <c r="AZ29" s="304"/>
      <c r="BA29" s="304"/>
      <c r="BB29" s="304"/>
      <c r="BC29" s="304"/>
      <c r="BD29" s="304"/>
      <c r="BE29" s="304"/>
    </row>
    <row r="30" spans="2:57" s="31" customFormat="1" ht="16" thickBot="1" x14ac:dyDescent="0.35">
      <c r="B30" s="9"/>
      <c r="C30" s="34"/>
      <c r="D30" s="84"/>
      <c r="G30" s="34"/>
      <c r="H30" s="84"/>
      <c r="J30" s="33"/>
      <c r="K30" s="38" t="s">
        <v>329</v>
      </c>
      <c r="L30" s="38" t="s">
        <v>201</v>
      </c>
      <c r="M30" s="86"/>
      <c r="N30" s="86"/>
      <c r="O30" s="255" t="s">
        <v>644</v>
      </c>
      <c r="P30" s="38"/>
      <c r="Q30" s="35"/>
      <c r="R30" s="61" t="s">
        <v>350</v>
      </c>
      <c r="S30" s="36"/>
      <c r="T30" s="36"/>
      <c r="U30" s="36"/>
      <c r="V30" s="36"/>
      <c r="W30" s="36"/>
      <c r="X30" s="36"/>
      <c r="Y30" s="36"/>
      <c r="Z30" s="36"/>
      <c r="AA30" s="36"/>
      <c r="AB30" s="36"/>
      <c r="AC30" s="36"/>
      <c r="AD30" s="36"/>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6" thickBot="1" x14ac:dyDescent="0.4">
      <c r="B31" s="39" t="s">
        <v>474</v>
      </c>
      <c r="C31" s="156"/>
      <c r="D31" s="88" t="s">
        <v>174</v>
      </c>
      <c r="E31" s="32"/>
      <c r="F31" s="32"/>
      <c r="G31" s="34"/>
      <c r="H31" s="84"/>
      <c r="J31" s="33" t="s">
        <v>456</v>
      </c>
      <c r="K31" s="96">
        <f>Muut!$H$4</f>
        <v>8.4</v>
      </c>
      <c r="L31" s="40"/>
      <c r="M31" s="41" t="s">
        <v>298</v>
      </c>
      <c r="N31" s="41"/>
      <c r="O31" s="256"/>
      <c r="Q31" s="35"/>
      <c r="R31" s="132" t="str">
        <f>IF(ISNUMBER(C31),IF(ISNUMBER(L31),L31*C31,K31*C31),"")</f>
        <v/>
      </c>
      <c r="S31" s="102" t="s">
        <v>349</v>
      </c>
      <c r="T31" s="43"/>
      <c r="U31" s="43"/>
      <c r="V31" s="43"/>
      <c r="W31" s="36"/>
      <c r="X31" s="36"/>
      <c r="Y31" s="36"/>
      <c r="Z31" s="36"/>
      <c r="AA31" s="36"/>
      <c r="AB31" s="36"/>
      <c r="AC31" s="36"/>
      <c r="AD31" s="36"/>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5" x14ac:dyDescent="0.35">
      <c r="B32" s="170" t="s">
        <v>509</v>
      </c>
      <c r="C32" s="160" t="s">
        <v>242</v>
      </c>
      <c r="D32" s="88"/>
      <c r="E32" s="32"/>
      <c r="F32" s="32"/>
      <c r="G32" s="34"/>
      <c r="H32" s="84"/>
      <c r="J32" s="33" t="s">
        <v>455</v>
      </c>
      <c r="K32" s="96">
        <f>Muut!$H$5*IF(OR(C32=Pudotusvalikot!$V$3,C32=Pudotusvalikot!$V$4),Muut!$E$38,IF(C32=Pudotusvalikot!$V$5,Muut!$E$39,IF(C32=Pudotusvalikot!$V$6,Muut!$E$40,Muut!$E$41)))</f>
        <v>0.12327540000000001</v>
      </c>
      <c r="L32" s="40"/>
      <c r="M32" s="41" t="s">
        <v>298</v>
      </c>
      <c r="N32" s="41"/>
      <c r="O32" s="41"/>
      <c r="Q32" s="35"/>
      <c r="R32" s="131" t="str">
        <f>IF(ISNUMBER(C31),IF(ISNUMBER(L32),L32*C31,K32*C31),"")</f>
        <v/>
      </c>
      <c r="S32" s="102" t="s">
        <v>172</v>
      </c>
      <c r="T32" s="43"/>
      <c r="U32" s="43"/>
      <c r="V32" s="43"/>
      <c r="W32" s="36"/>
      <c r="X32" s="36"/>
      <c r="Y32" s="36"/>
      <c r="Z32" s="36"/>
      <c r="AA32" s="36"/>
      <c r="AB32" s="36"/>
      <c r="AC32" s="36"/>
      <c r="AD32" s="36"/>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5" x14ac:dyDescent="0.35">
      <c r="B33" s="39" t="s">
        <v>475</v>
      </c>
      <c r="C33" s="156"/>
      <c r="D33" s="88" t="s">
        <v>174</v>
      </c>
      <c r="E33" s="32"/>
      <c r="F33" s="32"/>
      <c r="G33" s="34"/>
      <c r="H33" s="84"/>
      <c r="J33" s="33" t="s">
        <v>454</v>
      </c>
      <c r="K33" s="96">
        <f>Muut!$H$6*IF(OR(C34=Pudotusvalikot!$V$3,C34=Pudotusvalikot!$V$4),Muut!$E$38,IF(C34=Pudotusvalikot!$V$5,Muut!$E$39,IF(C34=Pudotusvalikot!$V$6,Muut!$E$40,Muut!$E$41)))</f>
        <v>4.0956000000000006E-2</v>
      </c>
      <c r="L33" s="40"/>
      <c r="M33" s="41" t="s">
        <v>298</v>
      </c>
      <c r="N33" s="41"/>
      <c r="O33" s="41"/>
      <c r="Q33" s="35"/>
      <c r="R33" s="48" t="str">
        <f>IF(ISNUMBER(#REF!),IF(ISNUMBER(L33),L33*#REF!,K33*#REF!),"")</f>
        <v/>
      </c>
      <c r="S33" s="102" t="s">
        <v>172</v>
      </c>
      <c r="T33" s="43"/>
      <c r="U33" s="43"/>
      <c r="V33" s="43"/>
      <c r="W33" s="36"/>
      <c r="X33" s="36"/>
      <c r="Y33" s="36"/>
      <c r="Z33" s="36"/>
      <c r="AA33" s="36"/>
      <c r="AB33" s="36"/>
      <c r="AC33" s="36"/>
      <c r="AD33" s="36"/>
      <c r="AE33" s="36"/>
      <c r="AF33" s="36"/>
      <c r="AG33" s="36"/>
      <c r="AH33" s="36"/>
      <c r="AI33" s="36"/>
      <c r="AJ33" s="36"/>
      <c r="AK33" s="36"/>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5" x14ac:dyDescent="0.3">
      <c r="B34" s="170" t="s">
        <v>509</v>
      </c>
      <c r="C34" s="160" t="s">
        <v>242</v>
      </c>
      <c r="D34" s="34"/>
      <c r="E34" s="34"/>
      <c r="F34" s="34"/>
      <c r="G34" s="34"/>
      <c r="H34" s="59"/>
      <c r="J34" s="173"/>
      <c r="K34" s="173"/>
      <c r="L34" s="173"/>
      <c r="M34" s="41"/>
      <c r="N34" s="41"/>
      <c r="O34" s="41"/>
      <c r="Q34" s="47"/>
      <c r="R34" s="102"/>
      <c r="S34" s="102"/>
      <c r="T34" s="36"/>
      <c r="U34" s="36"/>
      <c r="V34" s="181"/>
      <c r="W34" s="181"/>
      <c r="X34" s="61"/>
      <c r="Y34" s="36"/>
      <c r="Z34" s="61"/>
      <c r="AA34" s="182"/>
      <c r="AB34" s="61"/>
      <c r="AC34" s="61"/>
      <c r="AD34" s="61"/>
      <c r="AE34" s="61"/>
      <c r="AF34" s="182"/>
      <c r="AG34" s="61"/>
      <c r="AH34" s="36"/>
      <c r="AI34" s="36"/>
      <c r="AJ34" s="36"/>
      <c r="AK34" s="108"/>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5" x14ac:dyDescent="0.35">
      <c r="B35" s="39" t="s">
        <v>393</v>
      </c>
      <c r="C35" s="156"/>
      <c r="D35" s="88" t="s">
        <v>175</v>
      </c>
      <c r="E35" s="32"/>
      <c r="F35" s="32"/>
      <c r="G35" s="34"/>
      <c r="H35" s="84"/>
      <c r="J35" s="33" t="s">
        <v>453</v>
      </c>
      <c r="K35" s="96">
        <f>Muut!$H$7*IF(OR(C36=Pudotusvalikot!$V$3,C36=Pudotusvalikot!$V$4),Muut!$E$38,IF(C36=Pudotusvalikot!$V$5,Muut!$E$39,IF(C36=Pudotusvalikot!$V$6,Muut!$E$40,Muut!$E$41)))</f>
        <v>0.51195000000000002</v>
      </c>
      <c r="L35" s="40"/>
      <c r="M35" s="41" t="s">
        <v>226</v>
      </c>
      <c r="N35" s="41"/>
      <c r="O35" s="41"/>
      <c r="Q35" s="35"/>
      <c r="R35" s="48" t="str">
        <f>IF(ISNUMBER(C35),IF(ISNUMBER(L35),L35*C35,K35*C35),"")</f>
        <v/>
      </c>
      <c r="S35" s="102" t="s">
        <v>172</v>
      </c>
      <c r="T35" s="43"/>
      <c r="U35" s="43"/>
      <c r="V35" s="43"/>
      <c r="W35" s="36"/>
      <c r="X35" s="36"/>
      <c r="Y35" s="36"/>
      <c r="Z35" s="36"/>
      <c r="AA35" s="36"/>
      <c r="AB35" s="36"/>
      <c r="AC35" s="36"/>
      <c r="AD35" s="36"/>
      <c r="AE35" s="36"/>
      <c r="AF35" s="36"/>
      <c r="AG35" s="36"/>
      <c r="AH35" s="36"/>
      <c r="AI35" s="36"/>
      <c r="AJ35" s="36"/>
      <c r="AK35" s="36"/>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5" x14ac:dyDescent="0.3">
      <c r="B36" s="170" t="s">
        <v>509</v>
      </c>
      <c r="C36" s="160" t="s">
        <v>242</v>
      </c>
      <c r="D36" s="34"/>
      <c r="E36" s="34"/>
      <c r="F36" s="34"/>
      <c r="G36" s="34"/>
      <c r="H36" s="59"/>
      <c r="J36" s="173"/>
      <c r="K36" s="173"/>
      <c r="L36" s="173"/>
      <c r="M36" s="41"/>
      <c r="N36" s="41"/>
      <c r="O36" s="41"/>
      <c r="Q36" s="47"/>
      <c r="R36" s="102"/>
      <c r="S36" s="102"/>
      <c r="T36" s="36"/>
      <c r="U36" s="36"/>
      <c r="V36" s="181"/>
      <c r="W36" s="181"/>
      <c r="X36" s="61"/>
      <c r="Y36" s="36"/>
      <c r="Z36" s="61"/>
      <c r="AA36" s="182"/>
      <c r="AB36" s="61"/>
      <c r="AC36" s="61"/>
      <c r="AD36" s="61"/>
      <c r="AE36" s="61"/>
      <c r="AF36" s="182"/>
      <c r="AG36" s="61"/>
      <c r="AH36" s="36"/>
      <c r="AI36" s="36"/>
      <c r="AJ36" s="36"/>
      <c r="AK36" s="108"/>
      <c r="AL36" s="36"/>
      <c r="AM36" s="36"/>
      <c r="AN36" s="37"/>
      <c r="AO36" s="37"/>
      <c r="AP36" s="37"/>
      <c r="AQ36" s="37"/>
      <c r="AR36" s="37"/>
      <c r="AS36" s="37"/>
      <c r="AT36" s="37"/>
      <c r="AU36" s="37"/>
      <c r="AV36" s="37"/>
      <c r="AW36" s="37"/>
      <c r="AX36" s="37"/>
      <c r="AY36" s="37"/>
      <c r="AZ36" s="37"/>
      <c r="BA36" s="37"/>
      <c r="BB36" s="37"/>
      <c r="BC36" s="37"/>
      <c r="BD36" s="37"/>
      <c r="BE36" s="37"/>
    </row>
    <row r="37" spans="2:57" s="31" customFormat="1" ht="15.5" x14ac:dyDescent="0.3">
      <c r="B37" s="9"/>
      <c r="C37" s="34"/>
      <c r="D37" s="84"/>
      <c r="G37" s="34"/>
      <c r="H37" s="84"/>
      <c r="K37" s="34"/>
      <c r="L37" s="34"/>
      <c r="M37" s="84"/>
      <c r="N37" s="84"/>
      <c r="O37" s="84"/>
      <c r="Q37" s="35"/>
      <c r="R37" s="36"/>
      <c r="S37" s="36"/>
      <c r="T37" s="36"/>
      <c r="U37" s="36"/>
      <c r="V37" s="36"/>
      <c r="W37" s="36"/>
      <c r="X37" s="36"/>
      <c r="Y37" s="36"/>
      <c r="Z37" s="36"/>
      <c r="AA37" s="36"/>
      <c r="AB37" s="36"/>
      <c r="AC37" s="36"/>
      <c r="AD37" s="36"/>
      <c r="AE37" s="36"/>
      <c r="AF37" s="36"/>
      <c r="AG37" s="36"/>
      <c r="AH37" s="36"/>
      <c r="AI37" s="36"/>
      <c r="AJ37" s="36"/>
      <c r="AK37" s="36"/>
      <c r="AL37" s="36"/>
      <c r="AM37" s="36"/>
      <c r="AN37" s="37"/>
      <c r="AO37" s="37"/>
      <c r="AP37" s="37"/>
      <c r="AQ37" s="37"/>
      <c r="AR37" s="37"/>
      <c r="AS37" s="37"/>
      <c r="AT37" s="37"/>
      <c r="AU37" s="37"/>
      <c r="AV37" s="37"/>
      <c r="AW37" s="37"/>
      <c r="AX37" s="37"/>
      <c r="AY37" s="37"/>
      <c r="AZ37" s="37"/>
      <c r="BA37" s="37"/>
      <c r="BB37" s="37"/>
      <c r="BC37" s="37"/>
      <c r="BD37" s="37"/>
      <c r="BE37" s="37"/>
    </row>
    <row r="38" spans="2:57" s="298" customFormat="1" ht="18" x14ac:dyDescent="0.3">
      <c r="B38" s="295" t="s">
        <v>294</v>
      </c>
      <c r="C38" s="296"/>
      <c r="D38" s="297"/>
      <c r="G38" s="296"/>
      <c r="H38" s="297"/>
      <c r="K38" s="296"/>
      <c r="L38" s="296"/>
      <c r="M38" s="297"/>
      <c r="N38" s="297"/>
      <c r="O38" s="300"/>
      <c r="P38" s="320"/>
      <c r="Q38" s="304"/>
      <c r="S38" s="303"/>
      <c r="T38" s="303"/>
      <c r="U38" s="303"/>
      <c r="V38" s="303"/>
      <c r="W38" s="303"/>
      <c r="X38" s="303"/>
      <c r="Y38" s="303"/>
      <c r="Z38" s="303"/>
      <c r="AA38" s="303"/>
      <c r="AB38" s="303"/>
      <c r="AC38" s="303"/>
      <c r="AD38" s="303"/>
      <c r="AE38" s="303"/>
      <c r="AF38" s="303"/>
      <c r="AG38" s="303"/>
      <c r="AH38" s="303"/>
      <c r="AI38" s="303"/>
      <c r="AJ38" s="303"/>
      <c r="AK38" s="303"/>
      <c r="AL38" s="303"/>
      <c r="AM38" s="303"/>
      <c r="AN38" s="304"/>
      <c r="AO38" s="304"/>
      <c r="AP38" s="304"/>
      <c r="AQ38" s="304"/>
      <c r="AR38" s="304"/>
      <c r="AS38" s="304"/>
      <c r="AT38" s="304"/>
      <c r="AU38" s="304"/>
      <c r="AV38" s="304"/>
      <c r="AW38" s="304"/>
      <c r="AX38" s="304"/>
      <c r="AY38" s="304"/>
      <c r="AZ38" s="304"/>
      <c r="BA38" s="304"/>
      <c r="BB38" s="304"/>
      <c r="BC38" s="304"/>
      <c r="BD38" s="304"/>
      <c r="BE38" s="304"/>
    </row>
    <row r="39" spans="2:57" s="31" customFormat="1" ht="15.5" x14ac:dyDescent="0.3">
      <c r="B39" s="54"/>
      <c r="O39" s="255" t="s">
        <v>644</v>
      </c>
      <c r="Q39" s="133"/>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row>
    <row r="40" spans="2:57" s="31" customFormat="1" ht="15.5" x14ac:dyDescent="0.3">
      <c r="B40" s="155" t="s">
        <v>389</v>
      </c>
      <c r="C40" s="54"/>
      <c r="D40" s="54"/>
      <c r="E40" s="54"/>
      <c r="F40" s="54"/>
      <c r="G40" s="54"/>
      <c r="H40" s="54"/>
      <c r="I40" s="54"/>
      <c r="J40" s="54"/>
      <c r="K40" s="38" t="s">
        <v>329</v>
      </c>
      <c r="L40" s="38" t="s">
        <v>201</v>
      </c>
      <c r="M40" s="84"/>
      <c r="N40" s="84"/>
      <c r="O40" s="256"/>
      <c r="P40" s="38"/>
      <c r="Q40" s="35"/>
      <c r="R40" s="61" t="s">
        <v>350</v>
      </c>
      <c r="S40" s="36"/>
      <c r="T40" s="44" t="s">
        <v>275</v>
      </c>
      <c r="U40" s="44" t="s">
        <v>351</v>
      </c>
      <c r="V40" s="36" t="s">
        <v>352</v>
      </c>
      <c r="W40" s="44"/>
      <c r="X40" s="36"/>
      <c r="Y40" s="36"/>
      <c r="Z40" s="36"/>
      <c r="AA40" s="62"/>
      <c r="AB40" s="36"/>
      <c r="AC40" s="36"/>
      <c r="AD40" s="36"/>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5" x14ac:dyDescent="0.3">
      <c r="B41" s="54" t="s">
        <v>510</v>
      </c>
      <c r="C41" s="392" t="s">
        <v>128</v>
      </c>
      <c r="D41" s="393"/>
      <c r="E41" s="393"/>
      <c r="F41" s="393"/>
      <c r="G41" s="394"/>
      <c r="J41" s="33" t="s">
        <v>470</v>
      </c>
      <c r="K41" s="110">
        <f>IF(ISNUMBER(L41),L41,IF(OR(C41=Pudotusvalikot!$D$67,C41=Pudotusvalikot!$D$68),"--",VLOOKUP(C41,Kalusto!$C$5:$E$42,3,FALSE)*IF(OR(C42=Pudotusvalikot!$V$3,C42=Pudotusvalikot!$V$4),Muut!$E$38,IF(C42=Pudotusvalikot!$V$5,Muut!$E$39,IF(C42=Pudotusvalikot!$V$6,Muut!$E$40,Muut!$E$41)))))</f>
        <v>34.130000000000003</v>
      </c>
      <c r="L41" s="40"/>
      <c r="M41" s="41" t="s">
        <v>205</v>
      </c>
      <c r="N41" s="41"/>
      <c r="O41" s="265"/>
      <c r="P41" s="60"/>
      <c r="Q41" s="35"/>
      <c r="R41" s="50" t="str">
        <f>IF(ISNUMBER(K41*V41),K41*V41,"")</f>
        <v/>
      </c>
      <c r="S41" s="102" t="s">
        <v>172</v>
      </c>
      <c r="T41" s="50" t="str">
        <f>IF(ISNUMBER(C43),C43,"")</f>
        <v/>
      </c>
      <c r="U41" s="64" t="str">
        <f>IF(D43="h","",IF(ISNUMBER(C43),C43,""))</f>
        <v/>
      </c>
      <c r="V41" s="50" t="str">
        <f>IF(ISNUMBER(T41),IF(D43="h",C43,IF(ISNUMBER(T41*U41),IF(D43="m3/h",T41/U41,T41*U41),"")),"")</f>
        <v/>
      </c>
      <c r="W41" s="108"/>
      <c r="X41" s="61"/>
      <c r="Y41" s="36"/>
      <c r="Z41" s="36"/>
      <c r="AA41" s="36"/>
      <c r="AB41" s="36"/>
      <c r="AC41" s="36"/>
      <c r="AD41" s="36"/>
      <c r="AE41" s="36"/>
      <c r="AF41" s="36"/>
      <c r="AG41" s="36"/>
      <c r="AH41" s="36"/>
      <c r="AI41" s="36"/>
      <c r="AJ41" s="36"/>
      <c r="AK41" s="36"/>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15.5" x14ac:dyDescent="0.3">
      <c r="B42" s="170" t="s">
        <v>509</v>
      </c>
      <c r="C42" s="160" t="s">
        <v>242</v>
      </c>
      <c r="D42" s="34"/>
      <c r="E42" s="34"/>
      <c r="F42" s="34"/>
      <c r="G42" s="34"/>
      <c r="J42" s="33"/>
      <c r="K42" s="33"/>
      <c r="L42" s="33"/>
      <c r="M42" s="33"/>
      <c r="N42" s="33"/>
      <c r="O42" s="271"/>
      <c r="P42" s="60"/>
      <c r="Q42" s="35"/>
      <c r="R42" s="61"/>
      <c r="S42" s="102"/>
      <c r="T42" s="61"/>
      <c r="U42" s="62"/>
      <c r="V42" s="61"/>
      <c r="W42" s="108"/>
      <c r="X42" s="61"/>
      <c r="Y42" s="36"/>
      <c r="Z42" s="36"/>
      <c r="AA42" s="36"/>
      <c r="AB42" s="36"/>
      <c r="AC42" s="36"/>
      <c r="AD42" s="36"/>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5" x14ac:dyDescent="0.3">
      <c r="B43" s="45" t="s">
        <v>392</v>
      </c>
      <c r="C43" s="159"/>
      <c r="D43" s="84" t="s">
        <v>51</v>
      </c>
      <c r="E43" s="34"/>
      <c r="F43" s="34"/>
      <c r="G43" s="34"/>
      <c r="J43" s="33"/>
      <c r="M43" s="84"/>
      <c r="N43" s="84"/>
      <c r="O43" s="100"/>
      <c r="P43" s="42"/>
      <c r="Q43" s="52"/>
      <c r="R43" s="111"/>
      <c r="S43" s="36"/>
      <c r="T43" s="36"/>
      <c r="U43" s="36"/>
      <c r="V43" s="36"/>
      <c r="W43" s="36"/>
      <c r="X43" s="36"/>
      <c r="Y43" s="36"/>
      <c r="Z43" s="36"/>
      <c r="AA43" s="36"/>
      <c r="AB43" s="36"/>
      <c r="AC43" s="36"/>
      <c r="AD43" s="36"/>
      <c r="AE43" s="36"/>
      <c r="AF43" s="36"/>
      <c r="AG43" s="36"/>
      <c r="AH43" s="36"/>
      <c r="AI43" s="36"/>
      <c r="AJ43" s="36"/>
      <c r="AK43" s="36"/>
      <c r="AL43" s="36"/>
      <c r="AM43" s="36"/>
      <c r="AN43" s="37"/>
      <c r="AO43" s="37"/>
      <c r="AP43" s="37"/>
      <c r="AQ43" s="37"/>
      <c r="AR43" s="37"/>
      <c r="AS43" s="37"/>
      <c r="AT43" s="37"/>
      <c r="AU43" s="37"/>
      <c r="AV43" s="37"/>
      <c r="AW43" s="37"/>
      <c r="AX43" s="37"/>
      <c r="AY43" s="37"/>
      <c r="AZ43" s="37"/>
      <c r="BA43" s="37"/>
      <c r="BB43" s="37"/>
      <c r="BC43" s="37"/>
      <c r="BD43" s="37"/>
      <c r="BE43" s="37"/>
    </row>
    <row r="44" spans="2:57" s="31" customFormat="1" ht="15.5" x14ac:dyDescent="0.3">
      <c r="B44" s="155" t="s">
        <v>390</v>
      </c>
      <c r="K44" s="38" t="s">
        <v>329</v>
      </c>
      <c r="L44" s="38" t="s">
        <v>201</v>
      </c>
      <c r="O44" s="259"/>
      <c r="Q44" s="133"/>
      <c r="R44" s="61" t="s">
        <v>350</v>
      </c>
      <c r="S44" s="108"/>
      <c r="T44" s="44" t="s">
        <v>275</v>
      </c>
      <c r="U44" s="44" t="s">
        <v>351</v>
      </c>
      <c r="V44" s="36" t="s">
        <v>352</v>
      </c>
      <c r="W44" s="44"/>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row>
    <row r="45" spans="2:57" s="31" customFormat="1" ht="15.65" customHeight="1" x14ac:dyDescent="0.3">
      <c r="B45" s="45" t="s">
        <v>510</v>
      </c>
      <c r="C45" s="392" t="s">
        <v>128</v>
      </c>
      <c r="D45" s="393"/>
      <c r="E45" s="393"/>
      <c r="F45" s="393"/>
      <c r="G45" s="394"/>
      <c r="J45" s="33" t="s">
        <v>470</v>
      </c>
      <c r="K45" s="110">
        <f>IF(ISNUMBER(L45),L45,IF(OR(C45=Pudotusvalikot!$D$67,C45=Pudotusvalikot!$D$68),"--",VLOOKUP(C45,Kalusto!$C$5:$E$42,3,FALSE)*IF(OR(C46=Pudotusvalikot!$V$3,C46=Pudotusvalikot!$V$4),Muut!$E$38,IF(C46=Pudotusvalikot!$V$5,Muut!$E$39,IF(C46=Pudotusvalikot!$V$6,Muut!$E$40,Muut!$E$41)))))</f>
        <v>34.130000000000003</v>
      </c>
      <c r="L45" s="40"/>
      <c r="M45" s="41" t="s">
        <v>205</v>
      </c>
      <c r="N45" s="41"/>
      <c r="O45" s="265"/>
      <c r="P45" s="60"/>
      <c r="Q45" s="35"/>
      <c r="R45" s="50" t="str">
        <f>IF(ISNUMBER(K45*V45),K45*V45,"")</f>
        <v/>
      </c>
      <c r="S45" s="102" t="s">
        <v>172</v>
      </c>
      <c r="T45" s="50" t="str">
        <f>IF(ISNUMBER(C47),C47,"")</f>
        <v/>
      </c>
      <c r="U45" s="64" t="str">
        <f>IF(D47="h","",IF(ISNUMBER(C47),C47,""))</f>
        <v/>
      </c>
      <c r="V45" s="50" t="str">
        <f>IF(ISNUMBER(T45),IF(D47="h",C47,IF(ISNUMBER(T45*U45),IF(D47="m3/h",T45/U45,T45*U45),"")),"")</f>
        <v/>
      </c>
      <c r="W45" s="108"/>
      <c r="X45" s="61"/>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row>
    <row r="46" spans="2:57" s="31" customFormat="1" ht="15.65" customHeight="1" x14ac:dyDescent="0.3">
      <c r="B46" s="170" t="s">
        <v>509</v>
      </c>
      <c r="C46" s="160" t="s">
        <v>242</v>
      </c>
      <c r="D46" s="34"/>
      <c r="E46" s="34"/>
      <c r="F46" s="34"/>
      <c r="G46" s="34"/>
      <c r="J46" s="33"/>
      <c r="K46" s="33"/>
      <c r="L46" s="33"/>
      <c r="M46" s="33"/>
      <c r="N46" s="33"/>
      <c r="O46" s="271"/>
      <c r="P46" s="60"/>
      <c r="Q46" s="35"/>
      <c r="R46" s="61"/>
      <c r="S46" s="102"/>
      <c r="T46" s="61"/>
      <c r="U46" s="62"/>
      <c r="V46" s="61"/>
      <c r="W46" s="108"/>
      <c r="X46" s="61"/>
      <c r="Y46" s="36"/>
      <c r="Z46" s="36"/>
      <c r="AA46" s="36"/>
      <c r="AB46" s="36"/>
      <c r="AC46" s="36"/>
      <c r="AD46" s="36"/>
      <c r="AE46" s="36"/>
      <c r="AF46" s="36"/>
      <c r="AG46" s="36"/>
      <c r="AH46" s="36"/>
      <c r="AI46" s="36"/>
      <c r="AJ46" s="36"/>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5" x14ac:dyDescent="0.3">
      <c r="B47" s="45" t="s">
        <v>392</v>
      </c>
      <c r="C47" s="159"/>
      <c r="D47" s="84" t="s">
        <v>51</v>
      </c>
      <c r="E47" s="34"/>
      <c r="F47" s="34"/>
      <c r="G47" s="34"/>
      <c r="J47" s="33"/>
      <c r="K47" s="38"/>
      <c r="L47" s="38"/>
      <c r="M47" s="84"/>
      <c r="N47" s="84"/>
      <c r="O47" s="100"/>
      <c r="P47" s="42"/>
      <c r="Q47" s="52"/>
      <c r="R47" s="111"/>
      <c r="S47" s="36"/>
      <c r="T47" s="36"/>
      <c r="U47" s="36"/>
      <c r="V47" s="36"/>
      <c r="W47" s="36"/>
      <c r="X47" s="36"/>
      <c r="Y47" s="36"/>
      <c r="Z47" s="36"/>
      <c r="AA47" s="36"/>
      <c r="AB47" s="36"/>
      <c r="AC47" s="36"/>
      <c r="AD47" s="36"/>
      <c r="AE47" s="36"/>
      <c r="AF47" s="36"/>
      <c r="AG47" s="36"/>
      <c r="AH47" s="36"/>
      <c r="AI47" s="36"/>
      <c r="AJ47" s="36"/>
      <c r="AK47" s="36"/>
      <c r="AL47" s="36"/>
      <c r="AM47" s="36"/>
      <c r="AN47" s="37"/>
      <c r="AO47" s="37"/>
      <c r="AP47" s="37"/>
      <c r="AQ47" s="37"/>
      <c r="AR47" s="37"/>
      <c r="AS47" s="37"/>
      <c r="AT47" s="37"/>
      <c r="AU47" s="37"/>
      <c r="AV47" s="37"/>
      <c r="AW47" s="37"/>
      <c r="AX47" s="37"/>
      <c r="AY47" s="37"/>
      <c r="AZ47" s="37"/>
      <c r="BA47" s="37"/>
      <c r="BB47" s="37"/>
      <c r="BC47" s="37"/>
      <c r="BD47" s="37"/>
      <c r="BE47" s="37"/>
    </row>
    <row r="48" spans="2:57" s="31" customFormat="1" ht="15.5" x14ac:dyDescent="0.3">
      <c r="B48" s="155" t="s">
        <v>391</v>
      </c>
      <c r="K48" s="38" t="s">
        <v>329</v>
      </c>
      <c r="L48" s="38" t="s">
        <v>201</v>
      </c>
      <c r="O48" s="259"/>
      <c r="Q48" s="133"/>
      <c r="R48" s="61" t="s">
        <v>350</v>
      </c>
      <c r="S48" s="108"/>
      <c r="T48" s="44" t="s">
        <v>275</v>
      </c>
      <c r="U48" s="44" t="s">
        <v>351</v>
      </c>
      <c r="V48" s="36" t="s">
        <v>352</v>
      </c>
      <c r="W48" s="44"/>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row>
    <row r="49" spans="2:57" s="31" customFormat="1" ht="15.5" x14ac:dyDescent="0.3">
      <c r="B49" s="45" t="s">
        <v>510</v>
      </c>
      <c r="C49" s="392" t="s">
        <v>128</v>
      </c>
      <c r="D49" s="393"/>
      <c r="E49" s="393"/>
      <c r="F49" s="393"/>
      <c r="G49" s="394"/>
      <c r="J49" s="33" t="s">
        <v>470</v>
      </c>
      <c r="K49" s="110">
        <f>IF(ISNUMBER(L49),L49,IF(OR(C49=Pudotusvalikot!$D$67,C49=Pudotusvalikot!$D$68),"--",VLOOKUP(C49,Kalusto!$C$5:$E$42,3,FALSE)*IF(OR(C50=Pudotusvalikot!$V$3,C50=Pudotusvalikot!$V$4),Muut!$E$38,IF(C50=Pudotusvalikot!$V$5,Muut!$E$39,IF(C50=Pudotusvalikot!$V$6,Muut!$E$40,Muut!$E$41)))))</f>
        <v>34.130000000000003</v>
      </c>
      <c r="L49" s="40"/>
      <c r="M49" s="41" t="s">
        <v>205</v>
      </c>
      <c r="N49" s="41"/>
      <c r="O49" s="265"/>
      <c r="P49" s="60"/>
      <c r="Q49" s="35"/>
      <c r="R49" s="50" t="str">
        <f>IF(ISNUMBER(K49*V49),K49*V49,"")</f>
        <v/>
      </c>
      <c r="S49" s="102" t="s">
        <v>172</v>
      </c>
      <c r="T49" s="50" t="str">
        <f>IF(ISNUMBER(C51),C51,"")</f>
        <v/>
      </c>
      <c r="U49" s="64" t="str">
        <f>IF(D51="h","",IF(ISNUMBER(C51),C51,""))</f>
        <v/>
      </c>
      <c r="V49" s="50" t="str">
        <f>IF(ISNUMBER(T49),IF(D51="h",C51,IF(ISNUMBER(T49*U49),IF(D51="m3/h",T49/U49,T49*U49),"")),"")</f>
        <v/>
      </c>
      <c r="W49" s="108"/>
      <c r="X49" s="61"/>
      <c r="Y49" s="36"/>
      <c r="Z49" s="36"/>
      <c r="AA49" s="36"/>
      <c r="AB49" s="36"/>
      <c r="AC49" s="36"/>
      <c r="AD49" s="36"/>
      <c r="AE49" s="36"/>
      <c r="AF49" s="36"/>
      <c r="AG49" s="36"/>
      <c r="AH49" s="36"/>
      <c r="AI49" s="36"/>
      <c r="AJ49" s="36"/>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5" x14ac:dyDescent="0.3">
      <c r="B50" s="170" t="s">
        <v>509</v>
      </c>
      <c r="C50" s="160" t="s">
        <v>242</v>
      </c>
      <c r="D50" s="34"/>
      <c r="E50" s="34"/>
      <c r="F50" s="34"/>
      <c r="G50" s="34"/>
      <c r="J50" s="33"/>
      <c r="K50" s="33"/>
      <c r="L50" s="33"/>
      <c r="M50" s="33"/>
      <c r="N50" s="33"/>
      <c r="O50" s="271"/>
      <c r="P50" s="60"/>
      <c r="Q50" s="35"/>
      <c r="R50" s="61"/>
      <c r="S50" s="102"/>
      <c r="T50" s="61"/>
      <c r="U50" s="62"/>
      <c r="V50" s="61"/>
      <c r="W50" s="108"/>
      <c r="X50" s="61"/>
      <c r="Y50" s="36"/>
      <c r="Z50" s="36"/>
      <c r="AA50" s="36"/>
      <c r="AB50" s="36"/>
      <c r="AC50" s="36"/>
      <c r="AD50" s="36"/>
      <c r="AE50" s="36"/>
      <c r="AF50" s="36"/>
      <c r="AG50" s="36"/>
      <c r="AH50" s="36"/>
      <c r="AI50" s="36"/>
      <c r="AJ50" s="36"/>
      <c r="AK50" s="36"/>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5" x14ac:dyDescent="0.3">
      <c r="B51" s="45" t="s">
        <v>392</v>
      </c>
      <c r="C51" s="159"/>
      <c r="D51" s="84" t="s">
        <v>51</v>
      </c>
      <c r="E51" s="34"/>
      <c r="F51" s="34"/>
      <c r="G51" s="34"/>
      <c r="J51" s="33"/>
      <c r="K51" s="34"/>
      <c r="L51" s="34"/>
      <c r="M51" s="84"/>
      <c r="N51" s="84"/>
      <c r="O51" s="100"/>
      <c r="P51" s="42"/>
      <c r="Q51" s="52"/>
      <c r="R51" s="111"/>
      <c r="S51" s="36"/>
      <c r="T51" s="36"/>
      <c r="U51" s="36"/>
      <c r="V51" s="36"/>
      <c r="W51" s="36"/>
      <c r="X51" s="36"/>
      <c r="Y51" s="36"/>
      <c r="Z51" s="36"/>
      <c r="AA51" s="36"/>
      <c r="AB51" s="36"/>
      <c r="AC51" s="36"/>
      <c r="AD51" s="36"/>
      <c r="AE51" s="36"/>
      <c r="AF51" s="36"/>
      <c r="AG51" s="36"/>
      <c r="AH51" s="36"/>
      <c r="AI51" s="36"/>
      <c r="AJ51" s="36"/>
      <c r="AK51" s="36"/>
      <c r="AL51" s="36"/>
      <c r="AM51" s="36"/>
      <c r="AN51" s="37"/>
      <c r="AO51" s="37"/>
      <c r="AP51" s="37"/>
      <c r="AQ51" s="37"/>
      <c r="AR51" s="37"/>
      <c r="AS51" s="37"/>
      <c r="AT51" s="37"/>
      <c r="AU51" s="37"/>
      <c r="AV51" s="37"/>
      <c r="AW51" s="37"/>
      <c r="AX51" s="37"/>
      <c r="AY51" s="37"/>
      <c r="AZ51" s="37"/>
      <c r="BA51" s="37"/>
      <c r="BB51" s="37"/>
      <c r="BC51" s="37"/>
      <c r="BD51" s="37"/>
      <c r="BE51" s="37"/>
    </row>
    <row r="52" spans="2:57" s="31" customFormat="1" ht="15.5" x14ac:dyDescent="0.3">
      <c r="C52" s="80"/>
      <c r="D52" s="84"/>
      <c r="G52" s="34"/>
      <c r="H52" s="84"/>
      <c r="J52" s="33"/>
      <c r="K52" s="34"/>
      <c r="L52" s="34"/>
      <c r="M52" s="84"/>
      <c r="N52" s="84"/>
      <c r="O52" s="84"/>
      <c r="Q52" s="35"/>
      <c r="R52" s="111"/>
      <c r="S52" s="36"/>
      <c r="T52" s="36"/>
      <c r="U52" s="36"/>
      <c r="V52" s="36"/>
      <c r="W52" s="36"/>
      <c r="X52" s="36"/>
      <c r="Y52" s="36"/>
      <c r="Z52" s="36"/>
      <c r="AA52" s="36"/>
      <c r="AB52" s="36"/>
      <c r="AC52" s="36"/>
      <c r="AD52" s="36"/>
      <c r="AE52" s="36"/>
      <c r="AF52" s="36"/>
      <c r="AG52" s="36"/>
      <c r="AH52" s="36"/>
      <c r="AI52" s="36"/>
      <c r="AJ52" s="36"/>
      <c r="AK52" s="36"/>
      <c r="AL52" s="36"/>
      <c r="AM52" s="36"/>
      <c r="AN52" s="37"/>
      <c r="AO52" s="37"/>
      <c r="AP52" s="37"/>
      <c r="AQ52" s="37"/>
      <c r="AR52" s="37"/>
      <c r="AS52" s="37"/>
      <c r="AT52" s="37"/>
      <c r="AU52" s="37"/>
      <c r="AV52" s="37"/>
      <c r="AW52" s="37"/>
      <c r="AX52" s="37"/>
      <c r="AY52" s="37"/>
      <c r="AZ52" s="37"/>
      <c r="BA52" s="37"/>
      <c r="BB52" s="37"/>
      <c r="BC52" s="37"/>
      <c r="BD52" s="37"/>
      <c r="BE52" s="37"/>
    </row>
    <row r="53" spans="2:57" s="298" customFormat="1" ht="18" x14ac:dyDescent="0.3">
      <c r="B53" s="295" t="s">
        <v>591</v>
      </c>
      <c r="C53" s="296"/>
      <c r="D53" s="297"/>
      <c r="G53" s="296"/>
      <c r="H53" s="297"/>
      <c r="K53" s="296"/>
      <c r="L53" s="296"/>
      <c r="M53" s="297"/>
      <c r="N53" s="297"/>
      <c r="O53" s="300"/>
      <c r="P53" s="320"/>
      <c r="Q53" s="304"/>
      <c r="S53" s="303"/>
      <c r="T53" s="303"/>
      <c r="U53" s="303"/>
      <c r="V53" s="303"/>
      <c r="W53" s="303"/>
      <c r="X53" s="303"/>
      <c r="Y53" s="303"/>
      <c r="Z53" s="303"/>
      <c r="AA53" s="303"/>
      <c r="AB53" s="303"/>
      <c r="AC53" s="303"/>
      <c r="AD53" s="303"/>
      <c r="AE53" s="303"/>
      <c r="AF53" s="303"/>
      <c r="AG53" s="303"/>
      <c r="AH53" s="303"/>
      <c r="AI53" s="303"/>
      <c r="AJ53" s="303"/>
      <c r="AK53" s="303"/>
      <c r="AL53" s="303"/>
      <c r="AM53" s="303"/>
      <c r="AN53" s="304"/>
      <c r="AO53" s="304"/>
      <c r="AP53" s="304"/>
      <c r="AQ53" s="304"/>
      <c r="AR53" s="304"/>
      <c r="AS53" s="304"/>
      <c r="AT53" s="304"/>
      <c r="AU53" s="304"/>
      <c r="AV53" s="304"/>
      <c r="AW53" s="304"/>
      <c r="AX53" s="304"/>
      <c r="AY53" s="304"/>
      <c r="AZ53" s="304"/>
      <c r="BA53" s="304"/>
      <c r="BB53" s="304"/>
      <c r="BC53" s="304"/>
      <c r="BD53" s="304"/>
      <c r="BE53" s="304"/>
    </row>
    <row r="54" spans="2:57" s="31" customFormat="1" ht="15.5" x14ac:dyDescent="0.3">
      <c r="B54" s="9"/>
      <c r="C54" s="34"/>
      <c r="D54" s="84"/>
      <c r="E54" s="34"/>
      <c r="F54" s="34"/>
      <c r="G54" s="38"/>
      <c r="H54" s="84"/>
      <c r="J54" s="33"/>
      <c r="K54" s="38"/>
      <c r="L54" s="38"/>
      <c r="M54" s="86"/>
      <c r="N54" s="86"/>
      <c r="O54" s="255" t="s">
        <v>644</v>
      </c>
      <c r="P54" s="38"/>
      <c r="Q54" s="35"/>
      <c r="R54" s="106"/>
      <c r="S54" s="36"/>
      <c r="T54" s="36"/>
      <c r="U54" s="36"/>
      <c r="V54" s="44"/>
      <c r="W54" s="36"/>
      <c r="X54" s="44"/>
      <c r="Y54" s="44"/>
      <c r="Z54" s="44"/>
      <c r="AA54" s="44"/>
      <c r="AB54" s="44"/>
      <c r="AC54" s="44"/>
      <c r="AD54" s="44"/>
      <c r="AE54" s="44"/>
      <c r="AF54" s="44"/>
      <c r="AG54" s="44"/>
      <c r="AH54" s="44"/>
      <c r="AI54" s="36"/>
      <c r="AJ54" s="36"/>
      <c r="AK54" s="36"/>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15.5" x14ac:dyDescent="0.3">
      <c r="B55" s="155" t="s">
        <v>457</v>
      </c>
      <c r="C55" s="34" t="s">
        <v>50</v>
      </c>
      <c r="D55" s="84"/>
      <c r="E55" s="34"/>
      <c r="F55" s="34"/>
      <c r="G55" s="38" t="s">
        <v>199</v>
      </c>
      <c r="H55" s="84"/>
      <c r="J55" s="33"/>
      <c r="K55" s="38" t="s">
        <v>329</v>
      </c>
      <c r="L55" s="38" t="s">
        <v>201</v>
      </c>
      <c r="M55" s="86"/>
      <c r="N55" s="86"/>
      <c r="O55" s="256"/>
      <c r="P55" s="38"/>
      <c r="Q55" s="35"/>
      <c r="R55" s="61" t="s">
        <v>350</v>
      </c>
      <c r="S55" s="36"/>
      <c r="T55" s="36" t="s">
        <v>446</v>
      </c>
      <c r="U55" s="36" t="s">
        <v>445</v>
      </c>
      <c r="V55" s="44" t="s">
        <v>443</v>
      </c>
      <c r="W55" s="36" t="s">
        <v>444</v>
      </c>
      <c r="X55" s="44" t="s">
        <v>447</v>
      </c>
      <c r="Y55" s="44" t="s">
        <v>449</v>
      </c>
      <c r="Z55" s="44" t="s">
        <v>448</v>
      </c>
      <c r="AA55" s="44" t="s">
        <v>202</v>
      </c>
      <c r="AB55" s="44" t="s">
        <v>380</v>
      </c>
      <c r="AC55" s="44" t="s">
        <v>450</v>
      </c>
      <c r="AD55" s="44" t="s">
        <v>381</v>
      </c>
      <c r="AE55" s="44" t="s">
        <v>451</v>
      </c>
      <c r="AF55" s="44" t="s">
        <v>452</v>
      </c>
      <c r="AG55" s="44" t="s">
        <v>638</v>
      </c>
      <c r="AH55" s="36" t="s">
        <v>206</v>
      </c>
      <c r="AI55" s="36" t="s">
        <v>278</v>
      </c>
      <c r="AJ55" s="36" t="s">
        <v>207</v>
      </c>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46.5" x14ac:dyDescent="0.3">
      <c r="B56" s="170" t="s">
        <v>513</v>
      </c>
      <c r="C56" s="160"/>
      <c r="D56" s="89" t="s">
        <v>175</v>
      </c>
      <c r="E56" s="176"/>
      <c r="F56" s="57"/>
      <c r="G56" s="161"/>
      <c r="H56" s="84" t="str">
        <f>IF(D56="t","t/t","t/m3")</f>
        <v>t/m3</v>
      </c>
      <c r="I56" s="170"/>
      <c r="J56" s="173" t="s">
        <v>441</v>
      </c>
      <c r="K56" s="96">
        <f>IF(ISNUMBER(L56),L56,IF(OR(C57=Pudotusvalikot!$D$14,C57=Pudotusvalikot!$D$15),Kalusto!$G$96,VLOOKUP(C57,Kalusto!$C$44:$G$83,5,FALSE))*IF(OR(C58=Pudotusvalikot!$V$3,C58=Pudotusvalikot!$V$4),Muut!$E$38,IF(C58=Pudotusvalikot!$V$5,Muut!$E$39,IF(C58=Pudotusvalikot!$V$6,Muut!$E$40,Muut!$E$41))))</f>
        <v>6.1090000000000005E-2</v>
      </c>
      <c r="L56" s="40"/>
      <c r="M56" s="41" t="s">
        <v>200</v>
      </c>
      <c r="N56" s="41"/>
      <c r="O56" s="265"/>
      <c r="Q56" s="47"/>
      <c r="R56" s="50" t="str">
        <f ca="1">IF(AND(NOT(ISNUMBER(AB56)),NOT(ISNUMBER(AG56))),"",IF(ISNUMBER(AB56),AB56,0)+IF(ISNUMBER(AG56),AG56,0))</f>
        <v/>
      </c>
      <c r="S56" s="102" t="s">
        <v>172</v>
      </c>
      <c r="T56" s="48" t="str">
        <f>IF(ISNUMBER(L56),"Kohdetieto",IF(OR(C57=Pudotusvalikot!$D$14,C57=Pudotusvalikot!$D$15),Kalusto!$I$96,VLOOKUP(C57,Kalusto!$C$44:$L$83,7,FALSE)))</f>
        <v>Maansiirtoauto</v>
      </c>
      <c r="U56" s="48">
        <f>IF(ISNUMBER(L56),"Kohdetieto",IF(OR(C57=Pudotusvalikot!$D$14,C57=Pudotusvalikot!$D$15),Kalusto!$J$96,VLOOKUP(C57,Kalusto!$C$44:$L$83,8,FALSE)))</f>
        <v>32</v>
      </c>
      <c r="V56" s="49">
        <f>IF(ISNUMBER(L56),"Kohdetieto",IF(OR(C57=Pudotusvalikot!$D$14,C57=Pudotusvalikot!$D$15),Kalusto!$K$96,VLOOKUP(C57,Kalusto!$C$44:$L$83,9,FALSE)))</f>
        <v>0.8</v>
      </c>
      <c r="W56" s="49" t="str">
        <f>IF(ISNUMBER(L56),"Kohdetieto",IF(OR(C57=Pudotusvalikot!$D$14,C57=Pudotusvalikot!$D$15),Kalusto!$L$96,VLOOKUP(C57,Kalusto!$C$44:$L$83,10,FALSE)))</f>
        <v>maantieajo</v>
      </c>
      <c r="X56" s="50" t="str">
        <f>IF(ISBLANK(C56),"",IF(D56="t",C56,C56*G56))</f>
        <v/>
      </c>
      <c r="Y56" s="48" t="str">
        <f>IF(ISNUMBER(C59),C59,"")</f>
        <v/>
      </c>
      <c r="Z56" s="50" t="str">
        <f>IF(ISNUMBER(X56/(U56*V56)*Y56),X56/(U56*V56)*Y56,"")</f>
        <v/>
      </c>
      <c r="AA56" s="51">
        <f>IF(ISNUMBER(L56),L56,K56)</f>
        <v>6.1090000000000005E-2</v>
      </c>
      <c r="AB56" s="50" t="str">
        <f>IF(ISNUMBER(Y56*X56*K56),Y56*X56*K56,"")</f>
        <v/>
      </c>
      <c r="AC56" s="50" t="str">
        <f>IF(C81="Kyllä",Y56,"")</f>
        <v/>
      </c>
      <c r="AD56" s="50" t="str">
        <f>IF(C81="Kyllä",IF(ISNUMBER(X56/(U56*V56)),X56/(U56*V56),""),"")</f>
        <v/>
      </c>
      <c r="AE56" s="50" t="str">
        <f>IF(ISNUMBER(AD56*AC56),AD56*AC56,"")</f>
        <v/>
      </c>
      <c r="AF56" s="51">
        <f ca="1">IF(ISNUMBER(L57),L57,K57)</f>
        <v>0.71940999999999999</v>
      </c>
      <c r="AG56" s="50" t="str">
        <f ca="1">IF(ISNUMBER(AC56*AD56*K57),AC56*AD56*K57,"")</f>
        <v/>
      </c>
      <c r="AH56" s="48">
        <f>IF(T56="Jakelukuorma-auto",0,IF(T56="Maansiirtoauto",4,IF(T56="Puoliperävaunu",6,8)))</f>
        <v>4</v>
      </c>
      <c r="AI56" s="48">
        <f>IF(AND(T56="Jakelukuorma-auto",U56=6),0,IF(AND(T56="Jakelukuorma-auto",U56=15),2,0))</f>
        <v>0</v>
      </c>
      <c r="AJ56" s="48">
        <f>IF(W56="maantieajo",0,1)</f>
        <v>0</v>
      </c>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31" x14ac:dyDescent="0.3">
      <c r="B57" s="170" t="s">
        <v>512</v>
      </c>
      <c r="C57" s="392" t="s">
        <v>84</v>
      </c>
      <c r="D57" s="393"/>
      <c r="E57" s="393"/>
      <c r="F57" s="393"/>
      <c r="G57" s="394"/>
      <c r="H57" s="54"/>
      <c r="J57" s="33" t="s">
        <v>442</v>
      </c>
      <c r="K57" s="96">
        <f ca="1">IF(ISNUMBER(L57),L57,IF($C$109="Ei","",IF(AND($C$109="Kyllä",OR(C57=Pudotusvalikot!$D$14,C57=Pudotusvalikot!$D$15)),Kalusto!$G$97,OFFSET(Kalusto!$G$85,AH56+AJ56+AI56,0,1,1)))*IF(OR(C58=Pudotusvalikot!$V$3,C58=Pudotusvalikot!$V$4),Muut!$E$38,IF(C58=Pudotusvalikot!$V$5,Muut!$E$39,IF(C58=Pudotusvalikot!$V$6,Muut!$E$40,Muut!$E$41))))</f>
        <v>0.71940999999999999</v>
      </c>
      <c r="L57" s="40"/>
      <c r="M57" s="41" t="s">
        <v>204</v>
      </c>
      <c r="N57" s="41"/>
      <c r="O57" s="265"/>
      <c r="P57" s="34"/>
      <c r="Q57" s="52"/>
      <c r="R57" s="36"/>
      <c r="S57" s="36"/>
      <c r="T57" s="36"/>
      <c r="U57" s="36"/>
      <c r="V57" s="36"/>
      <c r="W57" s="36"/>
      <c r="X57" s="36"/>
      <c r="Y57" s="36"/>
      <c r="Z57" s="36"/>
      <c r="AA57" s="36"/>
      <c r="AB57" s="36"/>
      <c r="AC57" s="36"/>
      <c r="AD57" s="36"/>
      <c r="AE57" s="36"/>
      <c r="AF57" s="36"/>
      <c r="AG57" s="36"/>
      <c r="AH57" s="36"/>
      <c r="AI57" s="36"/>
      <c r="AJ57" s="36"/>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5" x14ac:dyDescent="0.3">
      <c r="B58" s="186" t="s">
        <v>506</v>
      </c>
      <c r="C58" s="160" t="s">
        <v>242</v>
      </c>
      <c r="D58" s="34"/>
      <c r="E58" s="34"/>
      <c r="F58" s="34"/>
      <c r="G58" s="34"/>
      <c r="H58" s="59"/>
      <c r="J58" s="173"/>
      <c r="K58" s="173"/>
      <c r="L58" s="173"/>
      <c r="M58" s="41"/>
      <c r="N58" s="41"/>
      <c r="O58" s="265"/>
      <c r="Q58" s="47"/>
      <c r="R58" s="102"/>
      <c r="S58" s="102"/>
      <c r="T58" s="36"/>
      <c r="U58" s="36"/>
      <c r="V58" s="181"/>
      <c r="W58" s="181"/>
      <c r="X58" s="61"/>
      <c r="Y58" s="36"/>
      <c r="Z58" s="61"/>
      <c r="AA58" s="182"/>
      <c r="AB58" s="61"/>
      <c r="AC58" s="61"/>
      <c r="AD58" s="61"/>
      <c r="AE58" s="61"/>
      <c r="AF58" s="182"/>
      <c r="AG58" s="61"/>
      <c r="AH58" s="36"/>
      <c r="AI58" s="36"/>
      <c r="AJ58" s="36"/>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5" x14ac:dyDescent="0.3">
      <c r="B59" s="45" t="s">
        <v>514</v>
      </c>
      <c r="C59" s="160"/>
      <c r="D59" s="84" t="s">
        <v>5</v>
      </c>
      <c r="G59" s="34"/>
      <c r="H59" s="54"/>
      <c r="J59" s="53"/>
      <c r="K59" s="34"/>
      <c r="L59" s="34"/>
      <c r="M59" s="84"/>
      <c r="N59" s="84"/>
      <c r="O59" s="100"/>
      <c r="P59" s="53"/>
      <c r="Q59" s="52"/>
      <c r="R59" s="36"/>
      <c r="S59" s="36"/>
      <c r="T59" s="36"/>
      <c r="U59" s="36"/>
      <c r="V59" s="36"/>
      <c r="W59" s="36"/>
      <c r="X59" s="36"/>
      <c r="Y59" s="36"/>
      <c r="Z59" s="36"/>
      <c r="AA59" s="36"/>
      <c r="AB59" s="36"/>
      <c r="AC59" s="36"/>
      <c r="AD59" s="36"/>
      <c r="AE59" s="36"/>
      <c r="AF59" s="36"/>
      <c r="AG59" s="36"/>
      <c r="AH59" s="36"/>
      <c r="AI59" s="36"/>
      <c r="AJ59" s="36"/>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15.5" x14ac:dyDescent="0.3">
      <c r="B60" s="155" t="s">
        <v>458</v>
      </c>
      <c r="C60" s="34"/>
      <c r="D60" s="84"/>
      <c r="G60" s="34"/>
      <c r="H60" s="84"/>
      <c r="J60" s="33"/>
      <c r="K60" s="38" t="s">
        <v>329</v>
      </c>
      <c r="L60" s="38" t="s">
        <v>201</v>
      </c>
      <c r="M60" s="84"/>
      <c r="N60" s="84"/>
      <c r="O60" s="100"/>
      <c r="P60" s="34"/>
      <c r="Q60" s="35"/>
      <c r="R60" s="61" t="s">
        <v>350</v>
      </c>
      <c r="S60" s="36"/>
      <c r="T60" s="36" t="s">
        <v>446</v>
      </c>
      <c r="U60" s="36" t="s">
        <v>445</v>
      </c>
      <c r="V60" s="44" t="s">
        <v>443</v>
      </c>
      <c r="W60" s="36" t="s">
        <v>444</v>
      </c>
      <c r="X60" s="44" t="s">
        <v>447</v>
      </c>
      <c r="Y60" s="44" t="s">
        <v>449</v>
      </c>
      <c r="Z60" s="44" t="s">
        <v>448</v>
      </c>
      <c r="AA60" s="44" t="s">
        <v>202</v>
      </c>
      <c r="AB60" s="44" t="s">
        <v>380</v>
      </c>
      <c r="AC60" s="44" t="s">
        <v>450</v>
      </c>
      <c r="AD60" s="44" t="s">
        <v>381</v>
      </c>
      <c r="AE60" s="44" t="s">
        <v>451</v>
      </c>
      <c r="AF60" s="44" t="s">
        <v>452</v>
      </c>
      <c r="AG60" s="44" t="s">
        <v>638</v>
      </c>
      <c r="AH60" s="36" t="s">
        <v>206</v>
      </c>
      <c r="AI60" s="36" t="s">
        <v>278</v>
      </c>
      <c r="AJ60" s="36" t="s">
        <v>207</v>
      </c>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46.5" x14ac:dyDescent="0.3">
      <c r="B61" s="170" t="s">
        <v>513</v>
      </c>
      <c r="C61" s="161"/>
      <c r="D61" s="89" t="s">
        <v>435</v>
      </c>
      <c r="E61" s="176"/>
      <c r="F61" s="57"/>
      <c r="G61" s="161"/>
      <c r="H61" s="84" t="str">
        <f>IF(D61="t","t/t","t/m3")</f>
        <v>t/m3</v>
      </c>
      <c r="J61" s="173" t="s">
        <v>441</v>
      </c>
      <c r="K61" s="96">
        <f>IF(ISNUMBER(L61),L61,IF(OR(C62=Pudotusvalikot!$D$14,C62=Pudotusvalikot!$D$15),Kalusto!$G$96,VLOOKUP(C62,Kalusto!$C$44:$G$83,5,FALSE))*IF(OR(C63=Pudotusvalikot!$V$3,C63=Pudotusvalikot!$V$4),Muut!$E$38,IF(C63=Pudotusvalikot!$V$5,Muut!$E$39,IF(C58=Pudotusvalikot!$V$6,Muut!$E$40,Muut!$E$41))))</f>
        <v>6.1090000000000005E-2</v>
      </c>
      <c r="L61" s="40"/>
      <c r="M61" s="41" t="s">
        <v>200</v>
      </c>
      <c r="N61" s="41"/>
      <c r="O61" s="265"/>
      <c r="Q61" s="47"/>
      <c r="R61" s="50" t="str">
        <f ca="1">IF(AND(NOT(ISNUMBER(AB61)),NOT(ISNUMBER(AG61))),"",IF(ISNUMBER(AB61),AB61,0)+IF(ISNUMBER(AG61),AG61,0))</f>
        <v/>
      </c>
      <c r="S61" s="102" t="s">
        <v>172</v>
      </c>
      <c r="T61" s="48" t="str">
        <f>IF(ISNUMBER(L61),"Kohdetieto",IF(OR(C62=Pudotusvalikot!$D$14,C62=Pudotusvalikot!$D$15),Kalusto!$I$96,VLOOKUP(C62,Kalusto!$C$44:$L$83,7,FALSE)))</f>
        <v>Maansiirtoauto</v>
      </c>
      <c r="U61" s="48">
        <f>IF(ISNUMBER(L61),"Kohdetieto",IF(OR(C62=Pudotusvalikot!$D$14,C62=Pudotusvalikot!$D$15),Kalusto!$J$96,VLOOKUP(C62,Kalusto!$C$44:$L$83,8,FALSE)))</f>
        <v>32</v>
      </c>
      <c r="V61" s="49">
        <f>IF(ISNUMBER(L61),"Kohdetieto",IF(OR(C62=Pudotusvalikot!$D$14,C62=Pudotusvalikot!$D$15),Kalusto!$K$96,VLOOKUP(C62,Kalusto!$C$44:$L$83,9,FALSE)))</f>
        <v>0.8</v>
      </c>
      <c r="W61" s="49" t="str">
        <f>IF(ISNUMBER(L61),"Kohdetieto",IF(OR(C62=Pudotusvalikot!$D$14,C62=Pudotusvalikot!$D$15),Kalusto!$L$96,VLOOKUP(C62,Kalusto!$C$44:$L$83,10,FALSE)))</f>
        <v>maantieajo</v>
      </c>
      <c r="X61" s="50" t="str">
        <f>IF(ISBLANK(C61),"",IF(D61="t",C61,C61*G61))</f>
        <v/>
      </c>
      <c r="Y61" s="48" t="str">
        <f>IF(ISNUMBER(C64),C64,"")</f>
        <v/>
      </c>
      <c r="Z61" s="50" t="str">
        <f>IF(ISNUMBER(X61/(U61*V61)*Y61),X61/(U61*V61)*Y61,"")</f>
        <v/>
      </c>
      <c r="AA61" s="51">
        <f>IF(ISNUMBER(L61),L61,K61)</f>
        <v>6.1090000000000005E-2</v>
      </c>
      <c r="AB61" s="50" t="str">
        <f>IF(ISNUMBER(Y61*X61*K61),Y61*X61*K61,"")</f>
        <v/>
      </c>
      <c r="AC61" s="50" t="str">
        <f>IF(C81="Kyllä",Y61,"")</f>
        <v/>
      </c>
      <c r="AD61" s="50" t="str">
        <f>IF(C81="Kyllä",IF(ISNUMBER(X61/(U61*V61)),X61/(U61*V61),""),"")</f>
        <v/>
      </c>
      <c r="AE61" s="50" t="str">
        <f>IF(ISNUMBER(AD61*AC61),AD61*AC61,"")</f>
        <v/>
      </c>
      <c r="AF61" s="51">
        <f ca="1">IF(ISNUMBER(L62),L62,K62)</f>
        <v>0.71940999999999999</v>
      </c>
      <c r="AG61" s="50" t="str">
        <f ca="1">IF(ISNUMBER(AC61*AD61*K62),AC61*AD61*K62,"")</f>
        <v/>
      </c>
      <c r="AH61" s="48">
        <f>IF(T61="Jakelukuorma-auto",0,IF(T61="Maansiirtoauto",4,IF(T61="Puoliperävaunu",6,8)))</f>
        <v>4</v>
      </c>
      <c r="AI61" s="48">
        <f>IF(AND(T61="Jakelukuorma-auto",U61=6),0,IF(AND(T61="Jakelukuorma-auto",U61=15),2,0))</f>
        <v>0</v>
      </c>
      <c r="AJ61" s="48">
        <f>IF(W61="maantieajo",0,1)</f>
        <v>0</v>
      </c>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31" x14ac:dyDescent="0.3">
      <c r="B62" s="170" t="s">
        <v>512</v>
      </c>
      <c r="C62" s="392" t="s">
        <v>84</v>
      </c>
      <c r="D62" s="393"/>
      <c r="E62" s="393"/>
      <c r="F62" s="393"/>
      <c r="G62" s="394"/>
      <c r="H62" s="84"/>
      <c r="J62" s="33" t="s">
        <v>442</v>
      </c>
      <c r="K62" s="96">
        <f ca="1">IF(ISNUMBER(L62),L62,IF($C$109="Ei","",IF(AND($C$109="Kyllä",OR(C62=Pudotusvalikot!$D$14,C62=Pudotusvalikot!$D$15)),Kalusto!$G$97,OFFSET(Kalusto!$G$85,AH61+AJ61+AI61,0,1,1)))*IF(OR(C63=Pudotusvalikot!$V$3,C63=Pudotusvalikot!$V$4),Muut!$E$38,IF(C63=Pudotusvalikot!$V$5,Muut!$E$39,IF(C58=Pudotusvalikot!$V$6,Muut!$E$40,Muut!$E$41))))</f>
        <v>0.71940999999999999</v>
      </c>
      <c r="L62" s="40"/>
      <c r="M62" s="41" t="s">
        <v>204</v>
      </c>
      <c r="N62" s="41"/>
      <c r="O62" s="265"/>
      <c r="P62" s="34"/>
      <c r="Q62" s="52"/>
      <c r="R62" s="36"/>
      <c r="S62" s="36"/>
      <c r="T62" s="36"/>
      <c r="U62" s="36"/>
      <c r="V62" s="36"/>
      <c r="W62" s="36"/>
      <c r="X62" s="36"/>
      <c r="Y62" s="36"/>
      <c r="Z62" s="36"/>
      <c r="AA62" s="36"/>
      <c r="AB62" s="36"/>
      <c r="AC62" s="36"/>
      <c r="AD62" s="36"/>
      <c r="AE62" s="36"/>
      <c r="AF62" s="36"/>
      <c r="AG62" s="36"/>
      <c r="AH62" s="36"/>
      <c r="AI62" s="36"/>
      <c r="AJ62" s="36"/>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15.5" x14ac:dyDescent="0.3">
      <c r="B63" s="186" t="s">
        <v>506</v>
      </c>
      <c r="C63" s="160" t="s">
        <v>242</v>
      </c>
      <c r="D63" s="34"/>
      <c r="E63" s="34"/>
      <c r="F63" s="34"/>
      <c r="G63" s="34"/>
      <c r="H63" s="59"/>
      <c r="J63" s="173"/>
      <c r="K63" s="173"/>
      <c r="L63" s="173"/>
      <c r="M63" s="41"/>
      <c r="N63" s="41"/>
      <c r="O63" s="265"/>
      <c r="Q63" s="47"/>
      <c r="R63" s="102"/>
      <c r="S63" s="102"/>
      <c r="T63" s="36"/>
      <c r="U63" s="36"/>
      <c r="V63" s="181"/>
      <c r="W63" s="181"/>
      <c r="X63" s="61"/>
      <c r="Y63" s="36"/>
      <c r="Z63" s="61"/>
      <c r="AA63" s="182"/>
      <c r="AB63" s="61"/>
      <c r="AC63" s="61"/>
      <c r="AD63" s="61"/>
      <c r="AE63" s="61"/>
      <c r="AF63" s="182"/>
      <c r="AG63" s="61"/>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5" x14ac:dyDescent="0.3">
      <c r="B64" s="45" t="s">
        <v>514</v>
      </c>
      <c r="C64" s="162"/>
      <c r="D64" s="84" t="s">
        <v>5</v>
      </c>
      <c r="G64" s="34"/>
      <c r="H64" s="84"/>
      <c r="J64" s="53"/>
      <c r="K64" s="34"/>
      <c r="L64" s="34"/>
      <c r="M64" s="84"/>
      <c r="N64" s="84"/>
      <c r="O64" s="100"/>
      <c r="P64" s="53"/>
      <c r="Q64" s="52"/>
      <c r="R64" s="36"/>
      <c r="S64" s="36"/>
      <c r="T64" s="36"/>
      <c r="U64" s="36"/>
      <c r="V64" s="36"/>
      <c r="W64" s="36"/>
      <c r="X64" s="36"/>
      <c r="Y64" s="36"/>
      <c r="Z64" s="36"/>
      <c r="AA64" s="36"/>
      <c r="AB64" s="36"/>
      <c r="AC64" s="36"/>
      <c r="AD64" s="36"/>
      <c r="AE64" s="36"/>
      <c r="AF64" s="36"/>
      <c r="AG64" s="36"/>
      <c r="AH64" s="36"/>
      <c r="AI64" s="36"/>
      <c r="AJ64" s="36"/>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15.5" x14ac:dyDescent="0.3">
      <c r="B65" s="155" t="s">
        <v>459</v>
      </c>
      <c r="C65" s="34"/>
      <c r="D65" s="84"/>
      <c r="G65" s="34"/>
      <c r="H65" s="84"/>
      <c r="J65" s="33"/>
      <c r="K65" s="38" t="s">
        <v>329</v>
      </c>
      <c r="L65" s="38" t="s">
        <v>201</v>
      </c>
      <c r="M65" s="84"/>
      <c r="N65" s="84"/>
      <c r="O65" s="100"/>
      <c r="P65" s="34"/>
      <c r="Q65" s="35"/>
      <c r="R65" s="61" t="s">
        <v>350</v>
      </c>
      <c r="S65" s="36"/>
      <c r="T65" s="36" t="s">
        <v>446</v>
      </c>
      <c r="U65" s="36" t="s">
        <v>445</v>
      </c>
      <c r="V65" s="44" t="s">
        <v>443</v>
      </c>
      <c r="W65" s="36" t="s">
        <v>444</v>
      </c>
      <c r="X65" s="44" t="s">
        <v>447</v>
      </c>
      <c r="Y65" s="44" t="s">
        <v>449</v>
      </c>
      <c r="Z65" s="44" t="s">
        <v>448</v>
      </c>
      <c r="AA65" s="44" t="s">
        <v>202</v>
      </c>
      <c r="AB65" s="44" t="s">
        <v>380</v>
      </c>
      <c r="AC65" s="44" t="s">
        <v>450</v>
      </c>
      <c r="AD65" s="44" t="s">
        <v>381</v>
      </c>
      <c r="AE65" s="44" t="s">
        <v>451</v>
      </c>
      <c r="AF65" s="44" t="s">
        <v>452</v>
      </c>
      <c r="AG65" s="44" t="s">
        <v>638</v>
      </c>
      <c r="AH65" s="36" t="s">
        <v>206</v>
      </c>
      <c r="AI65" s="36" t="s">
        <v>278</v>
      </c>
      <c r="AJ65" s="36" t="s">
        <v>207</v>
      </c>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46.5" x14ac:dyDescent="0.3">
      <c r="B66" s="170" t="s">
        <v>513</v>
      </c>
      <c r="C66" s="161"/>
      <c r="D66" s="89" t="s">
        <v>175</v>
      </c>
      <c r="E66" s="176"/>
      <c r="F66" s="57"/>
      <c r="G66" s="161"/>
      <c r="H66" s="84" t="str">
        <f>IF(D66="t","t/t","t/m3")</f>
        <v>t/m3</v>
      </c>
      <c r="J66" s="173" t="s">
        <v>441</v>
      </c>
      <c r="K66" s="96">
        <f>IF(ISNUMBER(L66),L66,IF(OR(C67=Pudotusvalikot!$D$14,C67=Pudotusvalikot!$D$15),Kalusto!$G$96,VLOOKUP(C67,Kalusto!$C$44:$G$83,5,FALSE))*IF(OR(C68=Pudotusvalikot!$V$3,C68=Pudotusvalikot!$V$4),Muut!$E$38,IF(C68=Pudotusvalikot!$V$5,Muut!$E$39,IF(C68=Pudotusvalikot!$V$6,Muut!$E$40,Muut!$E$41))))</f>
        <v>6.1090000000000005E-2</v>
      </c>
      <c r="L66" s="40"/>
      <c r="M66" s="41" t="s">
        <v>200</v>
      </c>
      <c r="N66" s="41"/>
      <c r="O66" s="265"/>
      <c r="Q66" s="47"/>
      <c r="R66" s="50" t="str">
        <f ca="1">IF(AND(NOT(ISNUMBER(AB66)),NOT(ISNUMBER(AG66))),"",IF(ISNUMBER(AB66),AB66,0)+IF(ISNUMBER(AG66),AG66,0))</f>
        <v/>
      </c>
      <c r="S66" s="102" t="s">
        <v>172</v>
      </c>
      <c r="T66" s="48" t="str">
        <f>IF(ISNUMBER(L66),"Kohdetieto",IF(OR(C67=Pudotusvalikot!$D$14,C67=Pudotusvalikot!$D$15),Kalusto!$I$96,VLOOKUP(C67,Kalusto!$C$44:$L$83,7,FALSE)))</f>
        <v>Maansiirtoauto</v>
      </c>
      <c r="U66" s="48">
        <f>IF(ISNUMBER(L66),"Kohdetieto",IF(OR(C67=Pudotusvalikot!$D$14,C67=Pudotusvalikot!$D$15),Kalusto!$J$96,VLOOKUP(C67,Kalusto!$C$44:$L$83,8,FALSE)))</f>
        <v>32</v>
      </c>
      <c r="V66" s="49">
        <f>IF(ISNUMBER(L66),"Kohdetieto",IF(OR(C67=Pudotusvalikot!$D$14,C67=Pudotusvalikot!$D$15),Kalusto!$K$96,VLOOKUP(C67,Kalusto!$C$44:$L$83,9,FALSE)))</f>
        <v>0.8</v>
      </c>
      <c r="W66" s="49" t="str">
        <f>IF(ISNUMBER(L66),"Kohdetieto",IF(OR(C67=Pudotusvalikot!$D$14,C67=Pudotusvalikot!$D$15),Kalusto!$L$96,VLOOKUP(C67,Kalusto!$C$44:$L$83,10,FALSE)))</f>
        <v>maantieajo</v>
      </c>
      <c r="X66" s="50" t="str">
        <f>IF(ISBLANK(C66),"",IF(D66="t",C66,C66*G66))</f>
        <v/>
      </c>
      <c r="Y66" s="48" t="str">
        <f>IF(ISNUMBER(C69),C69,"")</f>
        <v/>
      </c>
      <c r="Z66" s="50" t="str">
        <f>IF(ISNUMBER(X66/(U66*V66)*Y66),X66/(U66*V66)*Y66,"")</f>
        <v/>
      </c>
      <c r="AA66" s="51">
        <f>IF(ISNUMBER(L66),L66,K66)</f>
        <v>6.1090000000000005E-2</v>
      </c>
      <c r="AB66" s="50" t="str">
        <f>IF(ISNUMBER(Y66*X66*K66),Y66*X66*K66,"")</f>
        <v/>
      </c>
      <c r="AC66" s="50" t="str">
        <f>IF(C81="Kyllä",Y66,"")</f>
        <v/>
      </c>
      <c r="AD66" s="50" t="str">
        <f>IF(C81="Kyllä",IF(ISNUMBER(X66/(U66*V66)),X66/(U66*V66),""),"")</f>
        <v/>
      </c>
      <c r="AE66" s="50" t="str">
        <f>IF(ISNUMBER(AD66*AC66),AD66*AC66,"")</f>
        <v/>
      </c>
      <c r="AF66" s="51">
        <f ca="1">IF(ISNUMBER(L67),L67,K67)</f>
        <v>0.71940999999999999</v>
      </c>
      <c r="AG66" s="50" t="str">
        <f ca="1">IF(ISNUMBER(AC66*AD66*K67),AC66*AD66*K67,"")</f>
        <v/>
      </c>
      <c r="AH66" s="48">
        <f>IF(T66="Jakelukuorma-auto",0,IF(T66="Maansiirtoauto",4,IF(T66="Puoliperävaunu",6,8)))</f>
        <v>4</v>
      </c>
      <c r="AI66" s="48">
        <f>IF(AND(T66="Jakelukuorma-auto",U66=6),0,IF(AND(T66="Jakelukuorma-auto",U66=15),2,0))</f>
        <v>0</v>
      </c>
      <c r="AJ66" s="48">
        <f>IF(W66="maantieajo",0,1)</f>
        <v>0</v>
      </c>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31" x14ac:dyDescent="0.3">
      <c r="B67" s="170" t="s">
        <v>512</v>
      </c>
      <c r="C67" s="392" t="s">
        <v>84</v>
      </c>
      <c r="D67" s="393"/>
      <c r="E67" s="393"/>
      <c r="F67" s="393"/>
      <c r="G67" s="394"/>
      <c r="H67" s="84"/>
      <c r="J67" s="33" t="s">
        <v>442</v>
      </c>
      <c r="K67" s="96">
        <f ca="1">IF(ISNUMBER(L67),L67,IF($C$109="Ei","",IF(AND($C$109="Kyllä",OR(C67=Pudotusvalikot!$D$14,C67=Pudotusvalikot!$D$15)),Kalusto!$G$97,OFFSET(Kalusto!$G$85,AH66+AJ66+AI66,0,1,1)))*IF(OR(C68=Pudotusvalikot!$V$3,C68=Pudotusvalikot!$V$4),Muut!$E$38,IF(C68=Pudotusvalikot!$V$5,Muut!$E$39,IF(C68=Pudotusvalikot!$V$6,Muut!$E$40,Muut!$E$41))))</f>
        <v>0.71940999999999999</v>
      </c>
      <c r="L67" s="40"/>
      <c r="M67" s="41" t="s">
        <v>204</v>
      </c>
      <c r="N67" s="41"/>
      <c r="O67" s="265"/>
      <c r="P67" s="34"/>
      <c r="Q67" s="52"/>
      <c r="R67" s="36"/>
      <c r="S67" s="36"/>
      <c r="T67" s="36"/>
      <c r="U67" s="36"/>
      <c r="V67" s="36"/>
      <c r="W67" s="36"/>
      <c r="X67" s="36"/>
      <c r="Y67" s="36"/>
      <c r="Z67" s="36"/>
      <c r="AA67" s="36"/>
      <c r="AB67" s="36"/>
      <c r="AC67" s="36"/>
      <c r="AD67" s="36"/>
      <c r="AE67" s="36"/>
      <c r="AF67" s="36"/>
      <c r="AG67" s="36"/>
      <c r="AH67" s="36"/>
      <c r="AI67" s="36"/>
      <c r="AJ67" s="36"/>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15.5" x14ac:dyDescent="0.3">
      <c r="B68" s="186" t="s">
        <v>506</v>
      </c>
      <c r="C68" s="160" t="s">
        <v>242</v>
      </c>
      <c r="D68" s="34"/>
      <c r="E68" s="34"/>
      <c r="F68" s="34"/>
      <c r="G68" s="34"/>
      <c r="H68" s="59"/>
      <c r="J68" s="173"/>
      <c r="K68" s="173"/>
      <c r="L68" s="173"/>
      <c r="M68" s="41"/>
      <c r="N68" s="41"/>
      <c r="O68" s="265"/>
      <c r="Q68" s="47"/>
      <c r="R68" s="102"/>
      <c r="S68" s="102"/>
      <c r="T68" s="36"/>
      <c r="U68" s="36"/>
      <c r="V68" s="181"/>
      <c r="W68" s="181"/>
      <c r="X68" s="61"/>
      <c r="Y68" s="36"/>
      <c r="Z68" s="61"/>
      <c r="AA68" s="182"/>
      <c r="AB68" s="61"/>
      <c r="AC68" s="61"/>
      <c r="AD68" s="61"/>
      <c r="AE68" s="61"/>
      <c r="AF68" s="182"/>
      <c r="AG68" s="61"/>
      <c r="AH68" s="36"/>
      <c r="AI68" s="36"/>
      <c r="AJ68" s="36"/>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5" x14ac:dyDescent="0.3">
      <c r="B69" s="45" t="s">
        <v>514</v>
      </c>
      <c r="C69" s="162"/>
      <c r="D69" s="84" t="s">
        <v>5</v>
      </c>
      <c r="G69" s="34"/>
      <c r="H69" s="84"/>
      <c r="J69" s="53"/>
      <c r="K69" s="34"/>
      <c r="L69" s="34"/>
      <c r="M69" s="84"/>
      <c r="N69" s="84"/>
      <c r="O69" s="100"/>
      <c r="P69" s="53"/>
      <c r="Q69" s="52"/>
      <c r="R69" s="36"/>
      <c r="S69" s="36"/>
      <c r="T69" s="36"/>
      <c r="U69" s="36"/>
      <c r="V69" s="36"/>
      <c r="W69" s="36"/>
      <c r="X69" s="36"/>
      <c r="Y69" s="36"/>
      <c r="Z69" s="36"/>
      <c r="AA69" s="36"/>
      <c r="AB69" s="36"/>
      <c r="AC69" s="36"/>
      <c r="AD69" s="36"/>
      <c r="AE69" s="36"/>
      <c r="AF69" s="36"/>
      <c r="AG69" s="36"/>
      <c r="AH69" s="36"/>
      <c r="AI69" s="36"/>
      <c r="AJ69" s="36"/>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15.5" x14ac:dyDescent="0.3">
      <c r="B70" s="155" t="s">
        <v>460</v>
      </c>
      <c r="C70" s="34"/>
      <c r="D70" s="84"/>
      <c r="G70" s="34"/>
      <c r="H70" s="84"/>
      <c r="J70" s="33"/>
      <c r="K70" s="38" t="s">
        <v>329</v>
      </c>
      <c r="L70" s="38" t="s">
        <v>201</v>
      </c>
      <c r="M70" s="84"/>
      <c r="N70" s="84"/>
      <c r="O70" s="100"/>
      <c r="P70" s="34"/>
      <c r="Q70" s="35"/>
      <c r="R70" s="61" t="s">
        <v>350</v>
      </c>
      <c r="S70" s="36"/>
      <c r="T70" s="36" t="s">
        <v>446</v>
      </c>
      <c r="U70" s="36" t="s">
        <v>445</v>
      </c>
      <c r="V70" s="44" t="s">
        <v>443</v>
      </c>
      <c r="W70" s="36" t="s">
        <v>444</v>
      </c>
      <c r="X70" s="44" t="s">
        <v>447</v>
      </c>
      <c r="Y70" s="44" t="s">
        <v>449</v>
      </c>
      <c r="Z70" s="44" t="s">
        <v>448</v>
      </c>
      <c r="AA70" s="44" t="s">
        <v>202</v>
      </c>
      <c r="AB70" s="44" t="s">
        <v>380</v>
      </c>
      <c r="AC70" s="44" t="s">
        <v>450</v>
      </c>
      <c r="AD70" s="44" t="s">
        <v>381</v>
      </c>
      <c r="AE70" s="44" t="s">
        <v>451</v>
      </c>
      <c r="AF70" s="44" t="s">
        <v>452</v>
      </c>
      <c r="AG70" s="44" t="s">
        <v>638</v>
      </c>
      <c r="AH70" s="36" t="s">
        <v>206</v>
      </c>
      <c r="AI70" s="36" t="s">
        <v>278</v>
      </c>
      <c r="AJ70" s="36" t="s">
        <v>207</v>
      </c>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46.5" x14ac:dyDescent="0.3">
      <c r="B71" s="170" t="s">
        <v>513</v>
      </c>
      <c r="C71" s="161"/>
      <c r="D71" s="89" t="s">
        <v>175</v>
      </c>
      <c r="E71" s="34"/>
      <c r="F71" s="57"/>
      <c r="G71" s="161"/>
      <c r="H71" s="84" t="str">
        <f>IF(D71="t","t/t","t/m3")</f>
        <v>t/m3</v>
      </c>
      <c r="J71" s="173" t="s">
        <v>441</v>
      </c>
      <c r="K71" s="96">
        <f>IF(ISNUMBER(L71),L71,IF(OR(C72=Pudotusvalikot!$D$14,C72=Pudotusvalikot!$D$15),Kalusto!$G$96,VLOOKUP(C72,Kalusto!$C$44:$G$83,5,FALSE))*IF(OR(C73=Pudotusvalikot!$V$3,C73=Pudotusvalikot!$V$4),Muut!$E$38,IF(C73=Pudotusvalikot!$V$5,Muut!$E$39,IF(C73=Pudotusvalikot!$V$6,Muut!$E$40,Muut!$E$41))))</f>
        <v>6.1090000000000005E-2</v>
      </c>
      <c r="L71" s="40"/>
      <c r="M71" s="41" t="s">
        <v>200</v>
      </c>
      <c r="N71" s="41"/>
      <c r="O71" s="265"/>
      <c r="Q71" s="47"/>
      <c r="R71" s="50" t="str">
        <f ca="1">IF(AND(NOT(ISNUMBER(AB71)),NOT(ISNUMBER(AG71))),"",IF(ISNUMBER(AB71),AB71,0)+IF(ISNUMBER(AG71),AG71,0))</f>
        <v/>
      </c>
      <c r="S71" s="102" t="s">
        <v>172</v>
      </c>
      <c r="T71" s="48" t="str">
        <f>IF(ISNUMBER(L71),"Kohdetieto",IF(OR(C72=Pudotusvalikot!$D$14,C72=Pudotusvalikot!$D$15),Kalusto!$I$96,VLOOKUP(C72,Kalusto!$C$44:$L$83,7,FALSE)))</f>
        <v>Maansiirtoauto</v>
      </c>
      <c r="U71" s="48">
        <f>IF(ISNUMBER(L71),"Kohdetieto",IF(OR(C72=Pudotusvalikot!$D$14,C72=Pudotusvalikot!$D$15),Kalusto!$J$96,VLOOKUP(C72,Kalusto!$C$44:$L$83,8,FALSE)))</f>
        <v>32</v>
      </c>
      <c r="V71" s="49">
        <f>IF(ISNUMBER(L71),"Kohdetieto",IF(OR(C72=Pudotusvalikot!$D$14,C72=Pudotusvalikot!$D$15),Kalusto!$K$96,VLOOKUP(C72,Kalusto!$C$44:$L$83,9,FALSE)))</f>
        <v>0.8</v>
      </c>
      <c r="W71" s="49" t="str">
        <f>IF(ISNUMBER(L71),"Kohdetieto",IF(OR(C72=Pudotusvalikot!$D$14,C72=Pudotusvalikot!$D$15),Kalusto!$L$96,VLOOKUP(C72,Kalusto!$C$44:$L$83,10,FALSE)))</f>
        <v>maantieajo</v>
      </c>
      <c r="X71" s="50" t="str">
        <f>IF(ISBLANK(C71),"",IF(D71="t",C71,C71*G71))</f>
        <v/>
      </c>
      <c r="Y71" s="48" t="str">
        <f>IF(ISNUMBER(C74),C74,"")</f>
        <v/>
      </c>
      <c r="Z71" s="50" t="str">
        <f>IF(ISNUMBER(X71/(U71*V71)*Y71),X71/(U71*V71)*Y71,"")</f>
        <v/>
      </c>
      <c r="AA71" s="51">
        <f>IF(ISNUMBER(L71),L71,K71)</f>
        <v>6.1090000000000005E-2</v>
      </c>
      <c r="AB71" s="50" t="str">
        <f>IF(ISNUMBER(Y71*X71*K71),Y71*X71*K71,"")</f>
        <v/>
      </c>
      <c r="AC71" s="50" t="str">
        <f>IF(C81="Kyllä",Y71,"")</f>
        <v/>
      </c>
      <c r="AD71" s="50" t="str">
        <f>IF(C81="Kyllä",IF(ISNUMBER(X71/(U71*V71)),X71/(U71*V71),""),"")</f>
        <v/>
      </c>
      <c r="AE71" s="50" t="str">
        <f>IF(ISNUMBER(AD71*AC71),AD71*AC71,"")</f>
        <v/>
      </c>
      <c r="AF71" s="51">
        <f ca="1">IF(ISNUMBER(L72),L72,K72)</f>
        <v>0.71940999999999999</v>
      </c>
      <c r="AG71" s="50" t="str">
        <f ca="1">IF(ISNUMBER(AC71*AD71*K72),AC71*AD71*K72,"")</f>
        <v/>
      </c>
      <c r="AH71" s="48">
        <f>IF(T71="Jakelukuorma-auto",0,IF(T71="Maansiirtoauto",4,IF(T71="Puoliperävaunu",6,8)))</f>
        <v>4</v>
      </c>
      <c r="AI71" s="48">
        <f>IF(AND(T71="Jakelukuorma-auto",U71=6),0,IF(AND(T71="Jakelukuorma-auto",U71=15),2,0))</f>
        <v>0</v>
      </c>
      <c r="AJ71" s="48">
        <f>IF(W71="maantieajo",0,1)</f>
        <v>0</v>
      </c>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31" x14ac:dyDescent="0.3">
      <c r="B72" s="170" t="s">
        <v>512</v>
      </c>
      <c r="C72" s="392" t="s">
        <v>84</v>
      </c>
      <c r="D72" s="393"/>
      <c r="E72" s="393"/>
      <c r="F72" s="393"/>
      <c r="G72" s="394"/>
      <c r="H72" s="84"/>
      <c r="J72" s="33" t="s">
        <v>442</v>
      </c>
      <c r="K72" s="96">
        <f ca="1">IF(ISNUMBER(L72),L72,IF($C$109="Ei","",IF(AND($C$109="Kyllä",OR(C72=Pudotusvalikot!$D$14,C72=Pudotusvalikot!$D$15)),Kalusto!$G$97,OFFSET(Kalusto!$G$85,AH71+AJ71+AI71,0,1,1)))*IF(OR(C73=Pudotusvalikot!$V$3,C73=Pudotusvalikot!$V$4),Muut!$E$38,IF(C73=Pudotusvalikot!$V$5,Muut!$E$39,IF(C73=Pudotusvalikot!$V$6,Muut!$E$40,Muut!$E$41))))</f>
        <v>0.71940999999999999</v>
      </c>
      <c r="L72" s="40"/>
      <c r="M72" s="41" t="s">
        <v>204</v>
      </c>
      <c r="N72" s="41"/>
      <c r="O72" s="265"/>
      <c r="P72" s="34"/>
      <c r="Q72" s="52"/>
      <c r="R72" s="36"/>
      <c r="S72" s="36"/>
      <c r="T72" s="36"/>
      <c r="U72" s="36"/>
      <c r="V72" s="36"/>
      <c r="W72" s="36"/>
      <c r="X72" s="36"/>
      <c r="Y72" s="36"/>
      <c r="Z72" s="36"/>
      <c r="AA72" s="36"/>
      <c r="AB72" s="36"/>
      <c r="AC72" s="36"/>
      <c r="AD72" s="36"/>
      <c r="AE72" s="36"/>
      <c r="AF72" s="36"/>
      <c r="AG72" s="36"/>
      <c r="AH72" s="36"/>
      <c r="AI72" s="36"/>
      <c r="AJ72" s="36"/>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15.5" x14ac:dyDescent="0.3">
      <c r="B73" s="186" t="s">
        <v>506</v>
      </c>
      <c r="C73" s="160" t="s">
        <v>242</v>
      </c>
      <c r="D73" s="34"/>
      <c r="E73" s="34"/>
      <c r="F73" s="34"/>
      <c r="G73" s="34"/>
      <c r="H73" s="59"/>
      <c r="J73" s="173"/>
      <c r="K73" s="173"/>
      <c r="L73" s="173"/>
      <c r="M73" s="41"/>
      <c r="N73" s="41"/>
      <c r="O73" s="265"/>
      <c r="Q73" s="47"/>
      <c r="R73" s="102"/>
      <c r="S73" s="102"/>
      <c r="T73" s="36"/>
      <c r="U73" s="36"/>
      <c r="V73" s="181"/>
      <c r="W73" s="181"/>
      <c r="X73" s="61"/>
      <c r="Y73" s="36"/>
      <c r="Z73" s="61"/>
      <c r="AA73" s="182"/>
      <c r="AB73" s="61"/>
      <c r="AC73" s="61"/>
      <c r="AD73" s="61"/>
      <c r="AE73" s="61"/>
      <c r="AF73" s="182"/>
      <c r="AG73" s="61"/>
      <c r="AH73" s="36"/>
      <c r="AI73" s="36"/>
      <c r="AJ73" s="36"/>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5" x14ac:dyDescent="0.3">
      <c r="B74" s="45" t="s">
        <v>514</v>
      </c>
      <c r="C74" s="162"/>
      <c r="D74" s="90" t="s">
        <v>176</v>
      </c>
      <c r="E74" s="58"/>
      <c r="F74" s="58"/>
      <c r="G74" s="34"/>
      <c r="H74" s="84"/>
      <c r="J74" s="53"/>
      <c r="K74" s="34"/>
      <c r="L74" s="34"/>
      <c r="M74" s="84"/>
      <c r="N74" s="84"/>
      <c r="O74" s="100"/>
      <c r="P74" s="53"/>
      <c r="Q74" s="52"/>
      <c r="R74" s="36"/>
      <c r="S74" s="36"/>
      <c r="T74" s="36"/>
      <c r="U74" s="36"/>
      <c r="V74" s="36"/>
      <c r="W74" s="36"/>
      <c r="X74" s="36"/>
      <c r="Y74" s="36"/>
      <c r="Z74" s="36"/>
      <c r="AA74" s="36"/>
      <c r="AB74" s="36"/>
      <c r="AC74" s="36"/>
      <c r="AD74" s="36"/>
      <c r="AE74" s="36"/>
      <c r="AF74" s="36"/>
      <c r="AG74" s="36"/>
      <c r="AH74" s="36"/>
      <c r="AI74" s="36"/>
      <c r="AJ74" s="36"/>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15.5" x14ac:dyDescent="0.3">
      <c r="B75" s="155" t="s">
        <v>334</v>
      </c>
      <c r="C75" s="34"/>
      <c r="D75" s="84"/>
      <c r="G75" s="34"/>
      <c r="H75" s="84"/>
      <c r="J75" s="33"/>
      <c r="K75" s="38" t="s">
        <v>329</v>
      </c>
      <c r="L75" s="38" t="s">
        <v>201</v>
      </c>
      <c r="M75" s="84"/>
      <c r="N75" s="84"/>
      <c r="O75" s="100"/>
      <c r="P75" s="34"/>
      <c r="Q75" s="35"/>
      <c r="R75" s="61" t="s">
        <v>350</v>
      </c>
      <c r="S75" s="36"/>
      <c r="T75" s="36" t="s">
        <v>446</v>
      </c>
      <c r="U75" s="36" t="s">
        <v>445</v>
      </c>
      <c r="V75" s="44" t="s">
        <v>443</v>
      </c>
      <c r="W75" s="36" t="s">
        <v>444</v>
      </c>
      <c r="X75" s="44" t="s">
        <v>447</v>
      </c>
      <c r="Y75" s="44" t="s">
        <v>449</v>
      </c>
      <c r="Z75" s="44" t="s">
        <v>448</v>
      </c>
      <c r="AA75" s="44" t="s">
        <v>202</v>
      </c>
      <c r="AB75" s="44" t="s">
        <v>380</v>
      </c>
      <c r="AC75" s="44" t="s">
        <v>450</v>
      </c>
      <c r="AD75" s="44" t="s">
        <v>381</v>
      </c>
      <c r="AE75" s="44" t="s">
        <v>451</v>
      </c>
      <c r="AF75" s="44" t="s">
        <v>452</v>
      </c>
      <c r="AG75" s="44" t="s">
        <v>638</v>
      </c>
      <c r="AH75" s="36" t="s">
        <v>206</v>
      </c>
      <c r="AI75" s="36" t="s">
        <v>278</v>
      </c>
      <c r="AJ75" s="36" t="s">
        <v>207</v>
      </c>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46.5" x14ac:dyDescent="0.3">
      <c r="B76" s="170" t="s">
        <v>513</v>
      </c>
      <c r="C76" s="161"/>
      <c r="D76" s="89" t="s">
        <v>175</v>
      </c>
      <c r="E76" s="34"/>
      <c r="F76" s="57"/>
      <c r="G76" s="161"/>
      <c r="H76" s="84" t="str">
        <f>IF(D76="t","t/t","t/m3")</f>
        <v>t/m3</v>
      </c>
      <c r="J76" s="173" t="s">
        <v>441</v>
      </c>
      <c r="K76" s="96">
        <f>IF(ISNUMBER(L76),L76,IF(OR(C77=Pudotusvalikot!$D$14,C77=Pudotusvalikot!$D$15),Kalusto!$G$96,VLOOKUP(C77,Kalusto!$C$44:$G$83,5,FALSE))*IF(OR(C78=Pudotusvalikot!$V$3,C78=Pudotusvalikot!$V$4),Muut!$E$38,IF(C78=Pudotusvalikot!$V$5,Muut!$E$39,IF(C78=Pudotusvalikot!$V$6,Muut!$E$40,Muut!$E$41))))</f>
        <v>5.7709999999999997E-2</v>
      </c>
      <c r="L76" s="40"/>
      <c r="M76" s="41" t="s">
        <v>200</v>
      </c>
      <c r="N76" s="41"/>
      <c r="O76" s="265"/>
      <c r="Q76" s="47"/>
      <c r="R76" s="50" t="str">
        <f ca="1">IF(AND(NOT(ISNUMBER(AB76)),NOT(ISNUMBER(AG76))),"",IF(ISNUMBER(AB76),AB76,0)+IF(ISNUMBER(AG76),AG76,0))</f>
        <v/>
      </c>
      <c r="S76" s="102" t="s">
        <v>172</v>
      </c>
      <c r="T76" s="48" t="str">
        <f>IF(ISNUMBER(L76),"Kohdetieto",IF(OR(C77=Pudotusvalikot!$D$14,C77=Pudotusvalikot!$D$15),Kalusto!$I$96,VLOOKUP(C77,Kalusto!$C$44:$L$83,7,FALSE)))</f>
        <v>Maansiirtoauto</v>
      </c>
      <c r="U76" s="48">
        <f>IF(ISNUMBER(L76),"Kohdetieto",IF(OR(C77=Pudotusvalikot!$D$14,C77=Pudotusvalikot!$D$15),Kalusto!$J$96,VLOOKUP(C77,Kalusto!$C$44:$L$83,8,FALSE)))</f>
        <v>32</v>
      </c>
      <c r="V76" s="49">
        <f>IF(ISNUMBER(L76),"Kohdetieto",IF(OR(C77=Pudotusvalikot!$D$14,C77=Pudotusvalikot!$D$15),Kalusto!$K$96,VLOOKUP(C77,Kalusto!$C$44:$L$83,9,FALSE)))</f>
        <v>0.8</v>
      </c>
      <c r="W76" s="49" t="str">
        <f>IF(ISNUMBER(L76),"Kohdetieto",IF(OR(C77=Pudotusvalikot!$D$14,C77=Pudotusvalikot!$D$15),Kalusto!$L$96,VLOOKUP(C77,Kalusto!$C$44:$L$83,10,FALSE)))</f>
        <v>maantieajo</v>
      </c>
      <c r="X76" s="50" t="str">
        <f>IF(ISBLANK(C76),"",IF(D76="t",C76,C76*G76))</f>
        <v/>
      </c>
      <c r="Y76" s="48" t="str">
        <f>IF(ISNUMBER(C79),C79,"")</f>
        <v/>
      </c>
      <c r="Z76" s="50" t="str">
        <f>IF(ISNUMBER(X76/(U76*V76)*Y76),X76/(U76*V76)*Y76,"")</f>
        <v/>
      </c>
      <c r="AA76" s="51">
        <f>IF(ISNUMBER(L76),L76,K76)</f>
        <v>5.7709999999999997E-2</v>
      </c>
      <c r="AB76" s="50" t="str">
        <f>IF(ISNUMBER(Y76*X76*K76),Y76*X76*K76,"")</f>
        <v/>
      </c>
      <c r="AC76" s="50" t="str">
        <f>IF(C81="Kyllä",Y76,"")</f>
        <v/>
      </c>
      <c r="AD76" s="50" t="str">
        <f>IF(C81="Kyllä",IF(ISNUMBER(X76/(U76*V76)),X76/(U76*V76),""),"")</f>
        <v/>
      </c>
      <c r="AE76" s="50" t="str">
        <f>IF(ISNUMBER(AD76*AC76),AD76*AC76,"")</f>
        <v/>
      </c>
      <c r="AF76" s="51">
        <f ca="1">IF(ISNUMBER(L77),L77,K77)</f>
        <v>0.71940999999999999</v>
      </c>
      <c r="AG76" s="50" t="str">
        <f ca="1">IF(ISNUMBER(AC76*AD76*K77),AC76*AD76*K77,"")</f>
        <v/>
      </c>
      <c r="AH76" s="48">
        <f>IF(T76="Jakelukuorma-auto",0,IF(T76="Maansiirtoauto",4,IF(T76="Puoliperävaunu",6,8)))</f>
        <v>4</v>
      </c>
      <c r="AI76" s="48">
        <f>IF(AND(T76="Jakelukuorma-auto",U76=6),0,IF(AND(T76="Jakelukuorma-auto",U76=15),2,0))</f>
        <v>0</v>
      </c>
      <c r="AJ76" s="48">
        <f>IF(W76="maantieajo",0,1)</f>
        <v>0</v>
      </c>
      <c r="AK76" s="108"/>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31" x14ac:dyDescent="0.3">
      <c r="B77" s="170" t="s">
        <v>512</v>
      </c>
      <c r="C77" s="392" t="s">
        <v>330</v>
      </c>
      <c r="D77" s="393"/>
      <c r="E77" s="393"/>
      <c r="F77" s="393"/>
      <c r="G77" s="394"/>
      <c r="H77" s="84"/>
      <c r="J77" s="33" t="s">
        <v>442</v>
      </c>
      <c r="K77" s="96">
        <f ca="1">IF(ISNUMBER(L77),L77,IF($C$109="Ei","",IF(AND($C$109="Kyllä",OR(C77=Pudotusvalikot!$D$14,C77=Pudotusvalikot!$D$15)),Kalusto!$G$97,OFFSET(Kalusto!$G$85,AH76+AJ76+AI76,0,1,1)))*IF(OR(C78=Pudotusvalikot!$V$3,C78=Pudotusvalikot!$V$4),Muut!$E$38,IF(C78=Pudotusvalikot!$V$5,Muut!$E$39,IF(C78=Pudotusvalikot!$V$6,Muut!$E$40,Muut!$E$41))))</f>
        <v>0.71940999999999999</v>
      </c>
      <c r="L77" s="40"/>
      <c r="M77" s="41" t="s">
        <v>204</v>
      </c>
      <c r="N77" s="41"/>
      <c r="O77" s="265"/>
      <c r="P77" s="34"/>
      <c r="Q77" s="52"/>
      <c r="R77" s="99"/>
      <c r="S77" s="36"/>
      <c r="T77" s="36"/>
      <c r="U77" s="36"/>
      <c r="V77" s="36"/>
      <c r="W77" s="36"/>
      <c r="X77" s="36"/>
      <c r="Y77" s="36"/>
      <c r="Z77" s="36"/>
      <c r="AA77" s="36"/>
      <c r="AB77" s="36"/>
      <c r="AC77" s="36"/>
      <c r="AD77" s="36"/>
      <c r="AE77" s="36"/>
      <c r="AF77" s="36"/>
      <c r="AG77" s="36"/>
      <c r="AH77" s="36"/>
      <c r="AI77" s="36"/>
      <c r="AJ77" s="36"/>
      <c r="AK77" s="36"/>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15.5" x14ac:dyDescent="0.3">
      <c r="B78" s="186" t="s">
        <v>506</v>
      </c>
      <c r="C78" s="160" t="s">
        <v>242</v>
      </c>
      <c r="D78" s="34"/>
      <c r="E78" s="34"/>
      <c r="F78" s="34"/>
      <c r="G78" s="34"/>
      <c r="H78" s="59"/>
      <c r="J78" s="173"/>
      <c r="K78" s="173"/>
      <c r="L78" s="173"/>
      <c r="M78" s="41"/>
      <c r="N78" s="41"/>
      <c r="O78" s="265"/>
      <c r="Q78" s="47"/>
      <c r="R78" s="102"/>
      <c r="S78" s="102"/>
      <c r="T78" s="36"/>
      <c r="U78" s="36"/>
      <c r="V78" s="181"/>
      <c r="W78" s="181"/>
      <c r="X78" s="61"/>
      <c r="Y78" s="36"/>
      <c r="Z78" s="61"/>
      <c r="AA78" s="182"/>
      <c r="AB78" s="61"/>
      <c r="AC78" s="61"/>
      <c r="AD78" s="61"/>
      <c r="AE78" s="61"/>
      <c r="AF78" s="182"/>
      <c r="AG78" s="61"/>
      <c r="AH78" s="36"/>
      <c r="AI78" s="36"/>
      <c r="AJ78" s="36"/>
      <c r="AK78" s="108"/>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5" x14ac:dyDescent="0.3">
      <c r="B79" s="45" t="s">
        <v>514</v>
      </c>
      <c r="C79" s="162"/>
      <c r="D79" s="84" t="s">
        <v>5</v>
      </c>
      <c r="G79" s="34"/>
      <c r="H79" s="84"/>
      <c r="J79" s="53"/>
      <c r="K79" s="34"/>
      <c r="L79" s="34"/>
      <c r="M79" s="84"/>
      <c r="N79" s="84"/>
      <c r="O79" s="100"/>
      <c r="P79" s="53"/>
      <c r="Q79" s="52"/>
      <c r="R79" s="99"/>
      <c r="S79" s="36"/>
      <c r="T79" s="36"/>
      <c r="U79" s="36"/>
      <c r="V79" s="36"/>
      <c r="W79" s="36"/>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15.5" x14ac:dyDescent="0.3">
      <c r="C80" s="34"/>
      <c r="D80" s="84"/>
      <c r="G80" s="34"/>
      <c r="H80" s="84"/>
      <c r="J80" s="33"/>
      <c r="K80" s="34"/>
      <c r="L80" s="34"/>
      <c r="M80" s="84"/>
      <c r="N80" s="84"/>
      <c r="O80" s="100"/>
      <c r="Q80" s="35"/>
      <c r="R80" s="99"/>
      <c r="S80" s="36"/>
      <c r="T80" s="36"/>
      <c r="U80" s="36"/>
      <c r="V80" s="36"/>
      <c r="W80" s="36"/>
      <c r="X80" s="36"/>
      <c r="Y80" s="36"/>
      <c r="Z80" s="36"/>
      <c r="AA80" s="36"/>
      <c r="AB80" s="36"/>
      <c r="AC80" s="36"/>
      <c r="AD80" s="36"/>
      <c r="AE80" s="36"/>
      <c r="AF80" s="36"/>
      <c r="AG80" s="36"/>
      <c r="AH80" s="36"/>
      <c r="AI80" s="36"/>
      <c r="AJ80" s="36"/>
      <c r="AK80" s="36"/>
      <c r="AL80" s="36"/>
      <c r="AM80" s="36"/>
      <c r="AN80" s="37"/>
      <c r="AO80" s="37"/>
      <c r="AP80" s="37"/>
      <c r="AQ80" s="37"/>
      <c r="AR80" s="37"/>
      <c r="AS80" s="37"/>
      <c r="AT80" s="37"/>
      <c r="AU80" s="37"/>
      <c r="AV80" s="37"/>
      <c r="AW80" s="37"/>
      <c r="AX80" s="37"/>
      <c r="AY80" s="37"/>
      <c r="AZ80" s="37"/>
      <c r="BA80" s="37"/>
      <c r="BB80" s="37"/>
      <c r="BC80" s="37"/>
      <c r="BD80" s="37"/>
      <c r="BE80" s="37"/>
    </row>
    <row r="81" spans="2:59" s="31" customFormat="1" ht="46.5" x14ac:dyDescent="0.3">
      <c r="B81" s="78" t="s">
        <v>668</v>
      </c>
      <c r="C81" s="392" t="s">
        <v>6</v>
      </c>
      <c r="D81" s="394"/>
      <c r="E81" s="34"/>
      <c r="F81" s="58"/>
      <c r="G81" s="34"/>
      <c r="H81" s="84"/>
      <c r="J81" s="33"/>
      <c r="K81" s="34"/>
      <c r="L81" s="34"/>
      <c r="M81" s="84"/>
      <c r="N81" s="84"/>
      <c r="O81" s="100"/>
      <c r="Q81" s="35"/>
      <c r="R81" s="99"/>
      <c r="S81" s="36"/>
      <c r="T81" s="36"/>
      <c r="U81" s="36"/>
      <c r="V81" s="36"/>
      <c r="W81" s="36"/>
      <c r="X81" s="36"/>
      <c r="Y81" s="36"/>
      <c r="Z81" s="36"/>
      <c r="AA81" s="36"/>
      <c r="AB81" s="36"/>
      <c r="AC81" s="36"/>
      <c r="AD81" s="36"/>
      <c r="AE81" s="36"/>
      <c r="AF81" s="36"/>
      <c r="AG81" s="36"/>
      <c r="AH81" s="36"/>
      <c r="AI81" s="36"/>
      <c r="AJ81" s="36"/>
      <c r="AK81" s="36"/>
      <c r="AL81" s="36"/>
      <c r="AM81" s="36"/>
      <c r="AN81" s="37"/>
      <c r="AO81" s="37"/>
      <c r="AP81" s="37"/>
      <c r="AQ81" s="37"/>
      <c r="AR81" s="37"/>
      <c r="AS81" s="37"/>
      <c r="AT81" s="37"/>
      <c r="AU81" s="37"/>
      <c r="AV81" s="37"/>
      <c r="AW81" s="37"/>
      <c r="AX81" s="37"/>
      <c r="AY81" s="37"/>
      <c r="AZ81" s="37"/>
      <c r="BA81" s="37"/>
      <c r="BB81" s="37"/>
      <c r="BC81" s="37"/>
      <c r="BD81" s="37"/>
      <c r="BE81" s="37"/>
    </row>
    <row r="82" spans="2:59" s="31" customFormat="1" ht="15.5" x14ac:dyDescent="0.3">
      <c r="C82" s="34"/>
      <c r="D82" s="84"/>
      <c r="G82" s="34"/>
      <c r="H82" s="84"/>
      <c r="J82" s="33"/>
      <c r="K82" s="34"/>
      <c r="L82" s="34"/>
      <c r="M82" s="84"/>
      <c r="N82" s="84"/>
      <c r="O82" s="84"/>
      <c r="Q82" s="35"/>
      <c r="R82" s="99"/>
      <c r="S82" s="36"/>
      <c r="T82" s="36"/>
      <c r="U82" s="36"/>
      <c r="V82" s="36"/>
      <c r="W82" s="36"/>
      <c r="X82" s="36"/>
      <c r="Y82" s="36"/>
      <c r="Z82" s="36"/>
      <c r="AA82" s="36"/>
      <c r="AB82" s="36"/>
      <c r="AC82" s="36"/>
      <c r="AD82" s="36"/>
      <c r="AE82" s="36"/>
      <c r="AF82" s="36"/>
      <c r="AG82" s="36"/>
      <c r="AH82" s="36"/>
      <c r="AI82" s="36"/>
      <c r="AJ82" s="36"/>
      <c r="AK82" s="36"/>
      <c r="AL82" s="36"/>
      <c r="AM82" s="36"/>
      <c r="AN82" s="37"/>
      <c r="AO82" s="37"/>
      <c r="AP82" s="37"/>
      <c r="AQ82" s="37"/>
      <c r="AR82" s="37"/>
      <c r="AS82" s="37"/>
      <c r="AT82" s="37"/>
      <c r="AU82" s="37"/>
      <c r="AV82" s="37"/>
      <c r="AW82" s="37"/>
      <c r="AX82" s="37"/>
      <c r="AY82" s="37"/>
      <c r="AZ82" s="37"/>
      <c r="BA82" s="37"/>
      <c r="BB82" s="37"/>
      <c r="BC82" s="37"/>
      <c r="BD82" s="37"/>
      <c r="BE82" s="37"/>
    </row>
    <row r="83" spans="2:59" s="298" customFormat="1" ht="18" x14ac:dyDescent="0.3">
      <c r="B83" s="295" t="s">
        <v>626</v>
      </c>
      <c r="C83" s="296"/>
      <c r="D83" s="297"/>
      <c r="G83" s="296"/>
      <c r="H83" s="297"/>
      <c r="K83" s="296"/>
      <c r="L83" s="296"/>
      <c r="M83" s="297"/>
      <c r="N83" s="297"/>
      <c r="O83" s="300"/>
      <c r="P83" s="320"/>
      <c r="Q83" s="304"/>
      <c r="R83" s="298" t="str">
        <f>IF(OR(ISNUMBER(#REF!),ISNUMBER(#REF!),ISNUMBER(#REF!),ISNUMBER(#REF!),ISNUMBER(#REF!)),SUM(#REF!,#REF!,#REF!,#REF!,#REF!),"")</f>
        <v/>
      </c>
      <c r="S83" s="303"/>
      <c r="T83" s="303"/>
      <c r="U83" s="303"/>
      <c r="V83" s="303"/>
      <c r="W83" s="303"/>
      <c r="X83" s="303"/>
      <c r="Y83" s="303"/>
      <c r="Z83" s="303"/>
      <c r="AA83" s="303"/>
      <c r="AB83" s="303"/>
      <c r="AC83" s="303"/>
      <c r="AD83" s="303"/>
      <c r="AE83" s="303"/>
      <c r="AF83" s="303"/>
      <c r="AG83" s="303"/>
      <c r="AH83" s="303"/>
      <c r="AI83" s="303"/>
      <c r="AJ83" s="303"/>
      <c r="AK83" s="303"/>
      <c r="AL83" s="303"/>
      <c r="AM83" s="303"/>
      <c r="AN83" s="304"/>
      <c r="AO83" s="304"/>
      <c r="AP83" s="304"/>
      <c r="AQ83" s="304"/>
      <c r="AR83" s="304"/>
      <c r="AS83" s="304"/>
      <c r="AT83" s="304"/>
      <c r="AU83" s="304"/>
      <c r="AV83" s="304"/>
      <c r="AW83" s="304"/>
      <c r="AX83" s="304"/>
      <c r="AY83" s="304"/>
      <c r="AZ83" s="304"/>
      <c r="BA83" s="304"/>
      <c r="BB83" s="304"/>
      <c r="BC83" s="304"/>
      <c r="BD83" s="304"/>
      <c r="BE83" s="304"/>
    </row>
    <row r="84" spans="2:59" s="31" customFormat="1" ht="15.5" x14ac:dyDescent="0.3">
      <c r="B84" s="9"/>
      <c r="C84" s="34"/>
      <c r="D84" s="84"/>
      <c r="G84" s="38" t="s">
        <v>199</v>
      </c>
      <c r="H84" s="84"/>
      <c r="J84" s="33"/>
      <c r="K84" s="38" t="s">
        <v>329</v>
      </c>
      <c r="L84" s="38" t="s">
        <v>201</v>
      </c>
      <c r="M84" s="84"/>
      <c r="N84" s="84"/>
      <c r="O84" s="255" t="s">
        <v>644</v>
      </c>
      <c r="P84" s="38"/>
      <c r="Q84" s="35"/>
      <c r="R84" s="36" t="s">
        <v>350</v>
      </c>
      <c r="S84" s="36"/>
      <c r="T84" s="36" t="s">
        <v>378</v>
      </c>
      <c r="U84" s="36" t="s">
        <v>164</v>
      </c>
      <c r="V84" s="36" t="s">
        <v>355</v>
      </c>
      <c r="W84" s="108"/>
      <c r="X84" s="36"/>
      <c r="Y84" s="36"/>
      <c r="Z84" s="36"/>
      <c r="AA84" s="36"/>
      <c r="AB84" s="36"/>
      <c r="AC84" s="36"/>
      <c r="AD84" s="36"/>
      <c r="AE84" s="36"/>
      <c r="AF84" s="36"/>
      <c r="AG84" s="36"/>
      <c r="AH84" s="36"/>
      <c r="AI84" s="36"/>
      <c r="AJ84" s="36"/>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5" x14ac:dyDescent="0.3">
      <c r="B85" s="163" t="s">
        <v>462</v>
      </c>
      <c r="C85" s="160"/>
      <c r="D85" s="92" t="s">
        <v>175</v>
      </c>
      <c r="G85" s="66">
        <v>1.8</v>
      </c>
      <c r="H85" s="84" t="s">
        <v>177</v>
      </c>
      <c r="J85" s="33" t="s">
        <v>354</v>
      </c>
      <c r="K85" s="96">
        <f>IF(ISNUMBER(L85),L85,VLOOKUP(B85,Materiaalit!$C$10:$I$21,5,FALSE))</f>
        <v>6.0000000000000001E-3</v>
      </c>
      <c r="L85" s="40"/>
      <c r="M85" s="41" t="s">
        <v>276</v>
      </c>
      <c r="N85" s="41"/>
      <c r="O85" s="256"/>
      <c r="P85" s="41"/>
      <c r="Q85" s="52"/>
      <c r="R85" s="50" t="str">
        <f>IF(ISNUMBER(K85*V85*1000),K85*V85*1000,"")</f>
        <v/>
      </c>
      <c r="S85" s="102" t="s">
        <v>172</v>
      </c>
      <c r="T85" s="50" t="str">
        <f>IF(ISBLANK(C85),"",IF(D85="t",C85,C85*G85))</f>
        <v/>
      </c>
      <c r="U85" s="48">
        <f>VLOOKUP(B85,Materiaalit!$C$10:$I$21,7,FALSE)</f>
        <v>1.05</v>
      </c>
      <c r="V85" s="50" t="str">
        <f>IF(ISNUMBER(U85*T85),U85*T85,"")</f>
        <v/>
      </c>
      <c r="W85" s="108"/>
      <c r="X85" s="36"/>
      <c r="Y85" s="36"/>
      <c r="Z85" s="36"/>
      <c r="AA85" s="36"/>
      <c r="AB85" s="36"/>
      <c r="AC85" s="36"/>
      <c r="AD85" s="36"/>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5" x14ac:dyDescent="0.3">
      <c r="B86" s="163" t="s">
        <v>461</v>
      </c>
      <c r="C86" s="160"/>
      <c r="D86" s="89" t="s">
        <v>175</v>
      </c>
      <c r="G86" s="67">
        <f>1/0.6</f>
        <v>1.6666666666666667</v>
      </c>
      <c r="H86" s="84" t="s">
        <v>177</v>
      </c>
      <c r="J86" s="33" t="s">
        <v>354</v>
      </c>
      <c r="K86" s="96">
        <f>IF(ISNUMBER(L86),L86,VLOOKUP(B86,Materiaalit!$C$10:$I$21,5,FALSE))</f>
        <v>6.0000000000000001E-3</v>
      </c>
      <c r="L86" s="40"/>
      <c r="M86" s="41" t="s">
        <v>276</v>
      </c>
      <c r="N86" s="41"/>
      <c r="O86" s="265"/>
      <c r="P86" s="41"/>
      <c r="Q86" s="52"/>
      <c r="R86" s="50" t="str">
        <f>IF(ISNUMBER(K86*V86*1000),K86*V86*1000,"")</f>
        <v/>
      </c>
      <c r="S86" s="102" t="s">
        <v>172</v>
      </c>
      <c r="T86" s="50" t="str">
        <f>IF(ISBLANK(C86),"",IF(D86="t",C86,C86*G86))</f>
        <v/>
      </c>
      <c r="U86" s="48">
        <f>VLOOKUP(B86,Materiaalit!$C$10:$I$21,7,FALSE)</f>
        <v>1.05</v>
      </c>
      <c r="V86" s="50" t="str">
        <f>IF(ISNUMBER(U86*T86),U86*T86,"")</f>
        <v/>
      </c>
      <c r="W86" s="108"/>
      <c r="X86" s="36"/>
      <c r="Y86" s="36"/>
      <c r="Z86" s="36"/>
      <c r="AA86" s="36"/>
      <c r="AB86" s="36"/>
      <c r="AC86" s="36"/>
      <c r="AD86" s="36"/>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5" x14ac:dyDescent="0.3">
      <c r="B87" s="163" t="s">
        <v>463</v>
      </c>
      <c r="C87" s="160"/>
      <c r="D87" s="93" t="s">
        <v>175</v>
      </c>
      <c r="G87" s="67">
        <f>1/0.6</f>
        <v>1.6666666666666667</v>
      </c>
      <c r="H87" s="84" t="s">
        <v>177</v>
      </c>
      <c r="J87" s="33" t="s">
        <v>354</v>
      </c>
      <c r="K87" s="96">
        <f>IF(ISNUMBER(L87),L87,VLOOKUP(B87,Materiaalit!$C$10:$I$21,5,FALSE))</f>
        <v>4.0000000000000001E-3</v>
      </c>
      <c r="L87" s="40"/>
      <c r="M87" s="41" t="s">
        <v>276</v>
      </c>
      <c r="N87" s="41"/>
      <c r="O87" s="265"/>
      <c r="P87" s="41"/>
      <c r="Q87" s="52"/>
      <c r="R87" s="50" t="str">
        <f>IF(ISNUMBER(K87*V87*1000),K87*V87*1000,"")</f>
        <v/>
      </c>
      <c r="S87" s="102" t="s">
        <v>172</v>
      </c>
      <c r="T87" s="50" t="str">
        <f>IF(ISBLANK(C87),"",IF(D87="t",C87,C87*G87))</f>
        <v/>
      </c>
      <c r="U87" s="48">
        <f>VLOOKUP(B87,Materiaalit!$C$10:$I$21,7,FALSE)</f>
        <v>1.05</v>
      </c>
      <c r="V87" s="50" t="str">
        <f>IF(ISNUMBER(U87*T87),U87*T87,"")</f>
        <v/>
      </c>
      <c r="W87" s="108"/>
      <c r="X87" s="36"/>
      <c r="Y87" s="36"/>
      <c r="Z87" s="36"/>
      <c r="AA87" s="36"/>
      <c r="AB87" s="36"/>
      <c r="AC87" s="36"/>
      <c r="AD87" s="36"/>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5" x14ac:dyDescent="0.3">
      <c r="B88" s="163" t="s">
        <v>464</v>
      </c>
      <c r="C88" s="160"/>
      <c r="D88" s="89" t="s">
        <v>175</v>
      </c>
      <c r="G88" s="67">
        <f>1/0.7</f>
        <v>1.4285714285714286</v>
      </c>
      <c r="H88" s="84" t="s">
        <v>177</v>
      </c>
      <c r="J88" s="33" t="s">
        <v>354</v>
      </c>
      <c r="K88" s="96">
        <f>IF(ISNUMBER(L88),L88,VLOOKUP(B88,Materiaalit!$C$10:$I$21,5,FALSE))</f>
        <v>4.0000000000000001E-3</v>
      </c>
      <c r="L88" s="40"/>
      <c r="M88" s="41" t="s">
        <v>276</v>
      </c>
      <c r="N88" s="41"/>
      <c r="O88" s="265"/>
      <c r="P88" s="41"/>
      <c r="Q88" s="52"/>
      <c r="R88" s="50" t="str">
        <f>IF(ISNUMBER(K88*V88*1000),K88*V88*1000,"")</f>
        <v/>
      </c>
      <c r="S88" s="102" t="s">
        <v>172</v>
      </c>
      <c r="T88" s="50" t="str">
        <f>IF(ISBLANK(C88),"",IF(D88="t",C88,C88*G88))</f>
        <v/>
      </c>
      <c r="U88" s="48">
        <f>VLOOKUP(B88,Materiaalit!$C$10:$I$21,7,FALSE)</f>
        <v>1.05</v>
      </c>
      <c r="V88" s="50" t="str">
        <f>IF(ISNUMBER(U88*T88),U88*T88,"")</f>
        <v/>
      </c>
      <c r="W88" s="108"/>
      <c r="X88" s="36"/>
      <c r="Y88" s="36"/>
      <c r="Z88" s="36"/>
      <c r="AA88" s="36"/>
      <c r="AB88" s="36"/>
      <c r="AC88" s="36"/>
      <c r="AD88" s="36"/>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2:59" s="31" customFormat="1" ht="15.5" x14ac:dyDescent="0.3">
      <c r="B89" s="155" t="s">
        <v>465</v>
      </c>
      <c r="C89" s="160"/>
      <c r="D89" s="89" t="s">
        <v>175</v>
      </c>
      <c r="G89" s="160"/>
      <c r="H89" s="84" t="s">
        <v>177</v>
      </c>
      <c r="J89" s="33" t="s">
        <v>354</v>
      </c>
      <c r="K89" s="96">
        <f>IF(ISNUMBER(L89),L89,Materiaalit!$G$23)</f>
        <v>5.0000000000000001E-3</v>
      </c>
      <c r="L89" s="40"/>
      <c r="M89" s="41" t="s">
        <v>276</v>
      </c>
      <c r="N89" s="41"/>
      <c r="O89" s="265"/>
      <c r="P89" s="41"/>
      <c r="Q89" s="52"/>
      <c r="R89" s="50" t="str">
        <f>IF(ISNUMBER(K89*V89*1000),K89*V89*1000,"")</f>
        <v/>
      </c>
      <c r="S89" s="102" t="s">
        <v>172</v>
      </c>
      <c r="T89" s="50" t="str">
        <f>IF(ISBLANK(C89),"",IF(D89="t",C89,C89*G89))</f>
        <v/>
      </c>
      <c r="U89" s="48">
        <f>Materiaalit!$I$23</f>
        <v>1.05</v>
      </c>
      <c r="V89" s="50" t="str">
        <f>IF(ISNUMBER(U89*T89),U89*T89,"")</f>
        <v/>
      </c>
      <c r="W89" s="108"/>
      <c r="X89" s="36"/>
      <c r="Y89" s="36"/>
      <c r="Z89" s="36"/>
      <c r="AA89" s="36"/>
      <c r="AB89" s="36"/>
      <c r="AC89" s="36"/>
      <c r="AD89" s="36"/>
      <c r="AE89" s="36"/>
      <c r="AF89" s="36"/>
      <c r="AG89" s="36"/>
      <c r="AH89" s="36"/>
      <c r="AI89" s="36"/>
      <c r="AJ89" s="36"/>
      <c r="AK89" s="36"/>
      <c r="AL89" s="36"/>
      <c r="AM89" s="36"/>
      <c r="AN89" s="37"/>
      <c r="AO89" s="37"/>
      <c r="AP89" s="37"/>
      <c r="AQ89" s="37"/>
      <c r="AR89" s="37"/>
      <c r="AS89" s="37"/>
      <c r="AT89" s="37"/>
      <c r="AU89" s="37"/>
      <c r="AV89" s="37"/>
      <c r="AW89" s="37"/>
      <c r="AX89" s="37"/>
      <c r="AY89" s="37"/>
      <c r="AZ89" s="37"/>
      <c r="BA89" s="37"/>
      <c r="BB89" s="37"/>
      <c r="BC89" s="37"/>
      <c r="BD89" s="37"/>
      <c r="BE89" s="37"/>
    </row>
    <row r="90" spans="2:59" s="31" customFormat="1" ht="15.5" x14ac:dyDescent="0.3">
      <c r="C90" s="34"/>
      <c r="D90" s="84"/>
      <c r="G90" s="34"/>
      <c r="H90" s="84"/>
      <c r="J90" s="33"/>
      <c r="K90" s="34"/>
      <c r="L90" s="34"/>
      <c r="M90" s="84"/>
      <c r="N90" s="84"/>
      <c r="O90" s="100"/>
      <c r="Q90" s="35"/>
      <c r="R90" s="99"/>
      <c r="S90" s="36"/>
      <c r="T90" s="36"/>
      <c r="U90" s="36"/>
      <c r="V90" s="36"/>
      <c r="W90" s="36"/>
      <c r="X90" s="36"/>
      <c r="Y90" s="36"/>
      <c r="Z90" s="36"/>
      <c r="AA90" s="36"/>
      <c r="AB90" s="36"/>
      <c r="AC90" s="36"/>
      <c r="AD90" s="36"/>
      <c r="AE90" s="36"/>
      <c r="AF90" s="36"/>
      <c r="AG90" s="36"/>
      <c r="AH90" s="36"/>
      <c r="AI90" s="36"/>
      <c r="AJ90" s="36"/>
      <c r="AK90" s="36"/>
      <c r="AL90" s="36"/>
      <c r="AM90" s="36"/>
      <c r="AN90" s="37"/>
      <c r="AO90" s="37"/>
      <c r="AP90" s="37"/>
      <c r="AQ90" s="37"/>
      <c r="AR90" s="37"/>
      <c r="AS90" s="37"/>
      <c r="AT90" s="37"/>
      <c r="AU90" s="37"/>
      <c r="AV90" s="37"/>
      <c r="AW90" s="37"/>
      <c r="AX90" s="37"/>
      <c r="AY90" s="37"/>
      <c r="AZ90" s="37"/>
      <c r="BA90" s="37"/>
      <c r="BB90" s="37"/>
      <c r="BC90" s="37"/>
      <c r="BD90" s="37"/>
      <c r="BE90" s="37"/>
    </row>
    <row r="91" spans="2:59" s="31" customFormat="1" ht="15.5" x14ac:dyDescent="0.3">
      <c r="B91" s="177" t="s">
        <v>592</v>
      </c>
      <c r="C91" s="34"/>
      <c r="D91" s="84"/>
      <c r="E91" s="59"/>
      <c r="G91" s="34"/>
      <c r="H91" s="84"/>
      <c r="J91" s="33"/>
      <c r="K91" s="42"/>
      <c r="L91" s="42"/>
      <c r="M91" s="41"/>
      <c r="N91" s="41"/>
      <c r="O91" s="265"/>
      <c r="P91" s="41"/>
      <c r="Q91" s="166"/>
      <c r="R91" s="167"/>
      <c r="S91" s="101"/>
      <c r="T91" s="167"/>
      <c r="U91" s="55"/>
      <c r="V91" s="167"/>
      <c r="X91" s="55"/>
      <c r="Y91" s="55"/>
      <c r="Z91" s="55"/>
      <c r="AA91" s="55"/>
      <c r="AB91" s="55"/>
      <c r="AC91" s="55"/>
      <c r="AD91" s="55"/>
      <c r="AE91" s="55"/>
      <c r="AF91" s="55"/>
      <c r="AG91" s="55"/>
      <c r="AH91" s="55"/>
      <c r="AI91" s="55"/>
      <c r="AJ91" s="55"/>
      <c r="AK91" s="55"/>
      <c r="AL91" s="55"/>
      <c r="AM91" s="55"/>
      <c r="AN91" s="56"/>
      <c r="AO91" s="56"/>
      <c r="AP91" s="56"/>
      <c r="AQ91" s="56"/>
      <c r="AR91" s="56"/>
      <c r="AS91" s="56"/>
      <c r="AT91" s="56"/>
      <c r="AU91" s="56"/>
      <c r="AV91" s="56"/>
      <c r="AW91" s="56"/>
      <c r="AX91" s="56"/>
      <c r="AY91" s="56"/>
      <c r="AZ91" s="56"/>
      <c r="BA91" s="56"/>
      <c r="BB91" s="56"/>
      <c r="BC91" s="56"/>
      <c r="BD91" s="56"/>
      <c r="BE91" s="56"/>
    </row>
    <row r="92" spans="2:59" s="31" customFormat="1" ht="15.5" x14ac:dyDescent="0.3">
      <c r="C92" s="34"/>
      <c r="D92" s="84"/>
      <c r="G92" s="34"/>
      <c r="H92" s="84"/>
      <c r="J92" s="33"/>
      <c r="K92" s="34"/>
      <c r="L92" s="34"/>
      <c r="M92" s="84"/>
      <c r="N92" s="84"/>
      <c r="O92" s="84"/>
      <c r="Q92" s="35"/>
      <c r="R92" s="99"/>
      <c r="S92" s="36"/>
      <c r="T92" s="36"/>
      <c r="U92" s="36"/>
      <c r="V92" s="36"/>
      <c r="W92" s="36"/>
      <c r="X92" s="36"/>
      <c r="Y92" s="36"/>
      <c r="Z92" s="36"/>
      <c r="AA92" s="36"/>
      <c r="AB92" s="36"/>
      <c r="AC92" s="36"/>
      <c r="AD92" s="36"/>
      <c r="AE92" s="36"/>
      <c r="AF92" s="36"/>
      <c r="AG92" s="36"/>
      <c r="AH92" s="36"/>
      <c r="AI92" s="36"/>
      <c r="AJ92" s="36"/>
      <c r="AK92" s="36"/>
      <c r="AL92" s="36"/>
      <c r="AM92" s="36"/>
      <c r="AN92" s="37"/>
      <c r="AO92" s="37"/>
      <c r="AP92" s="37"/>
      <c r="AQ92" s="37"/>
      <c r="AR92" s="37"/>
      <c r="AS92" s="37"/>
      <c r="AT92" s="37"/>
      <c r="AU92" s="37"/>
      <c r="AV92" s="37"/>
      <c r="AW92" s="37"/>
      <c r="AX92" s="37"/>
      <c r="AY92" s="37"/>
      <c r="AZ92" s="37"/>
      <c r="BA92" s="37"/>
      <c r="BB92" s="37"/>
      <c r="BC92" s="37"/>
      <c r="BD92" s="37"/>
      <c r="BE92" s="37"/>
    </row>
    <row r="93" spans="2:59" s="298" customFormat="1" ht="18" x14ac:dyDescent="0.3">
      <c r="B93" s="295" t="s">
        <v>356</v>
      </c>
      <c r="C93" s="296"/>
      <c r="D93" s="297"/>
      <c r="G93" s="296"/>
      <c r="H93" s="297"/>
      <c r="K93" s="296"/>
      <c r="L93" s="296"/>
      <c r="M93" s="297"/>
      <c r="N93" s="297"/>
      <c r="O93" s="300"/>
      <c r="P93" s="320"/>
      <c r="Q93" s="304"/>
      <c r="S93" s="303"/>
      <c r="T93" s="303"/>
      <c r="U93" s="303"/>
      <c r="V93" s="303"/>
      <c r="W93" s="303"/>
      <c r="X93" s="303"/>
      <c r="Y93" s="303"/>
      <c r="Z93" s="303"/>
      <c r="AA93" s="303"/>
      <c r="AB93" s="303"/>
      <c r="AC93" s="303"/>
      <c r="AD93" s="303"/>
      <c r="AE93" s="303"/>
      <c r="AF93" s="303"/>
      <c r="AG93" s="303"/>
      <c r="AH93" s="303"/>
      <c r="AI93" s="303"/>
      <c r="AJ93" s="303"/>
      <c r="AK93" s="303"/>
      <c r="AL93" s="303"/>
      <c r="AM93" s="303"/>
      <c r="AN93" s="304"/>
      <c r="AO93" s="304"/>
      <c r="AP93" s="304"/>
      <c r="AQ93" s="304"/>
      <c r="AR93" s="304"/>
      <c r="AS93" s="304"/>
      <c r="AT93" s="304"/>
      <c r="AU93" s="304"/>
      <c r="AV93" s="304"/>
      <c r="AW93" s="304"/>
      <c r="AX93" s="304"/>
      <c r="AY93" s="304"/>
      <c r="AZ93" s="304"/>
      <c r="BA93" s="304"/>
      <c r="BB93" s="304"/>
      <c r="BC93" s="304"/>
      <c r="BD93" s="304"/>
      <c r="BE93" s="304"/>
    </row>
    <row r="94" spans="2:59" s="31" customFormat="1" ht="15.5" x14ac:dyDescent="0.3">
      <c r="B94" s="9"/>
      <c r="C94" s="34"/>
      <c r="D94" s="84"/>
      <c r="G94" s="38"/>
      <c r="H94" s="84"/>
      <c r="J94" s="33"/>
      <c r="K94" s="38"/>
      <c r="L94" s="38"/>
      <c r="M94" s="86"/>
      <c r="N94" s="86"/>
      <c r="O94" s="255" t="s">
        <v>644</v>
      </c>
      <c r="P94" s="38"/>
      <c r="Q94" s="35"/>
      <c r="R94" s="106"/>
      <c r="S94" s="44"/>
      <c r="T94" s="36"/>
      <c r="U94" s="36"/>
      <c r="V94" s="44"/>
      <c r="W94" s="36"/>
      <c r="X94" s="44"/>
      <c r="Y94" s="44"/>
      <c r="Z94" s="44"/>
      <c r="AA94" s="44"/>
      <c r="AB94" s="44"/>
      <c r="AC94" s="44"/>
      <c r="AD94" s="44"/>
      <c r="AE94" s="44"/>
      <c r="AF94" s="44"/>
      <c r="AG94" s="44"/>
      <c r="AH94" s="44"/>
      <c r="AI94" s="36"/>
      <c r="AJ94" s="36"/>
      <c r="AK94" s="36"/>
      <c r="AL94" s="36"/>
      <c r="AM94" s="36"/>
      <c r="AN94" s="37"/>
      <c r="AO94" s="37"/>
      <c r="AP94" s="37"/>
      <c r="AQ94" s="37"/>
      <c r="AR94" s="37"/>
      <c r="AS94" s="37"/>
      <c r="AT94" s="37"/>
      <c r="AU94" s="37"/>
      <c r="AV94" s="37"/>
      <c r="AW94" s="37"/>
      <c r="AX94" s="37"/>
      <c r="AY94" s="37"/>
      <c r="AZ94" s="37"/>
      <c r="BA94" s="37"/>
      <c r="BB94" s="37"/>
      <c r="BC94" s="37"/>
      <c r="BD94" s="37"/>
      <c r="BE94" s="37"/>
    </row>
    <row r="95" spans="2:59" s="31" customFormat="1" ht="15.5" x14ac:dyDescent="0.3">
      <c r="B95" s="95" t="str">
        <f>IF(LEFT(B85,5)="Louhe","Louhe",B85)</f>
        <v>Louhe</v>
      </c>
      <c r="C95" s="34"/>
      <c r="D95" s="84"/>
      <c r="G95" s="38" t="s">
        <v>199</v>
      </c>
      <c r="H95" s="84"/>
      <c r="I95" s="84"/>
      <c r="J95" s="33"/>
      <c r="K95" s="38" t="s">
        <v>329</v>
      </c>
      <c r="L95" s="38" t="s">
        <v>201</v>
      </c>
      <c r="M95" s="86"/>
      <c r="N95" s="86"/>
      <c r="O95" s="256"/>
      <c r="P95" s="148"/>
      <c r="Q95" s="37"/>
      <c r="R95" s="36" t="s">
        <v>350</v>
      </c>
      <c r="S95" s="44"/>
      <c r="T95" s="36" t="s">
        <v>446</v>
      </c>
      <c r="U95" s="36" t="s">
        <v>445</v>
      </c>
      <c r="V95" s="44" t="s">
        <v>443</v>
      </c>
      <c r="W95" s="36" t="s">
        <v>444</v>
      </c>
      <c r="X95" s="44" t="s">
        <v>447</v>
      </c>
      <c r="Y95" s="44" t="s">
        <v>449</v>
      </c>
      <c r="Z95" s="44" t="s">
        <v>448</v>
      </c>
      <c r="AA95" s="44" t="s">
        <v>202</v>
      </c>
      <c r="AB95" s="44" t="s">
        <v>380</v>
      </c>
      <c r="AC95" s="44" t="s">
        <v>450</v>
      </c>
      <c r="AD95" s="44" t="s">
        <v>381</v>
      </c>
      <c r="AE95" s="44" t="s">
        <v>451</v>
      </c>
      <c r="AF95" s="44" t="s">
        <v>452</v>
      </c>
      <c r="AG95" s="44" t="s">
        <v>638</v>
      </c>
      <c r="AH95" s="36" t="s">
        <v>206</v>
      </c>
      <c r="AI95" s="36" t="s">
        <v>278</v>
      </c>
      <c r="AJ95" s="36" t="s">
        <v>207</v>
      </c>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46.5" x14ac:dyDescent="0.3">
      <c r="B96" s="45" t="s">
        <v>526</v>
      </c>
      <c r="C96" s="112" t="str">
        <f>IF(ISNUMBER(C85),C85,"")</f>
        <v/>
      </c>
      <c r="D96" s="113" t="str">
        <f>D85</f>
        <v>m3ktr</v>
      </c>
      <c r="G96" s="112">
        <f>IF(ISNUMBER(G85),G85,"")</f>
        <v>1.8</v>
      </c>
      <c r="H96" s="84" t="str">
        <f>IF(D96="t","t/t","t/m3")</f>
        <v>t/m3</v>
      </c>
      <c r="I96" s="84"/>
      <c r="J96" s="173" t="s">
        <v>441</v>
      </c>
      <c r="K96" s="96">
        <f>IF(ISNUMBER(L96),L96,IF(OR(C97=Pudotusvalikot!$D$14,C97=Pudotusvalikot!$D$15),Kalusto!$G$96,VLOOKUP(C97,Kalusto!$C$44:$G$83,5,FALSE))*IF(OR(C98=Pudotusvalikot!$V$3,C98=Pudotusvalikot!$V$4),Muut!$E$38,IF(C98=Pudotusvalikot!$V$5,Muut!$E$39,IF(C98=Pudotusvalikot!$V$6,Muut!$E$40,Muut!$E$41))))</f>
        <v>6.1090000000000005E-2</v>
      </c>
      <c r="L96" s="40"/>
      <c r="M96" s="41" t="s">
        <v>200</v>
      </c>
      <c r="N96" s="41"/>
      <c r="O96" s="265"/>
      <c r="P96" s="149"/>
      <c r="Q96" s="104"/>
      <c r="R96" s="50" t="str">
        <f ca="1">IF(AND(NOT(ISNUMBER(AB96)),NOT(ISNUMBER(AG96))),"",IF(ISNUMBER(AB96),AB96,0)+IF(ISNUMBER(AG96),AG96,0))</f>
        <v/>
      </c>
      <c r="S96" s="102" t="s">
        <v>172</v>
      </c>
      <c r="T96" s="48" t="str">
        <f>IF(ISNUMBER(L96),"Kohdetieto",IF(OR(C97=Pudotusvalikot!$D$14,C97=Pudotusvalikot!$D$15),Kalusto!$I$96,VLOOKUP(C97,Kalusto!$C$44:$L$83,7,FALSE)))</f>
        <v>Maansiirtoauto</v>
      </c>
      <c r="U96" s="48">
        <f>IF(ISNUMBER(L96),"Kohdetieto",IF(OR(C97=Pudotusvalikot!$D$14,C97=Pudotusvalikot!$D$15),Kalusto!$J$96,VLOOKUP(C97,Kalusto!$C$44:$L$83,8,FALSE)))</f>
        <v>32</v>
      </c>
      <c r="V96" s="49">
        <f>IF(ISNUMBER(L96),"Kohdetieto",IF(OR(C97=Pudotusvalikot!$D$14,C97=Pudotusvalikot!$D$15),Kalusto!$K$96,VLOOKUP(C97,Kalusto!$C$44:$L$83,9,FALSE)))</f>
        <v>0.8</v>
      </c>
      <c r="W96" s="49" t="str">
        <f>IF(ISNUMBER(L96),"Kohdetieto",IF(OR(C97=Pudotusvalikot!$D$14,C97=Pudotusvalikot!$D$15),Kalusto!$L$96,VLOOKUP(C97,Kalusto!$C$44:$L$83,10,FALSE)))</f>
        <v>maantieajo</v>
      </c>
      <c r="X96" s="50" t="str">
        <f>IF(ISBLANK(C96),"",IF(D96="t",C96,IF(ISNUMBER(C96*G96),C96*G96,"")))</f>
        <v/>
      </c>
      <c r="Y96" s="48" t="str">
        <f>IF(ISNUMBER(C99),C99,"")</f>
        <v/>
      </c>
      <c r="Z96" s="50" t="str">
        <f>IF(ISNUMBER(X96/(U96*V96)*Y96),X96/(U96*V96)*Y96,"")</f>
        <v/>
      </c>
      <c r="AA96" s="51">
        <f>IF(ISNUMBER(L96),L96,K96)</f>
        <v>6.1090000000000005E-2</v>
      </c>
      <c r="AB96" s="50" t="str">
        <f>IF(ISNUMBER(Y96*X96*K96),Y96*X96*K96,"")</f>
        <v/>
      </c>
      <c r="AC96" s="50" t="str">
        <f>IF(C121="Kyllä",Y96,"")</f>
        <v/>
      </c>
      <c r="AD96" s="50" t="str">
        <f>IF(C121="Kyllä",IF(ISNUMBER(X96/(U96*V96)),X96/(U96*V96),""),"")</f>
        <v/>
      </c>
      <c r="AE96" s="50" t="str">
        <f>IF(ISNUMBER(AD96*AC96),AD96*AC96,"")</f>
        <v/>
      </c>
      <c r="AF96" s="51">
        <f ca="1">IF(ISNUMBER(L97),L97,K97)</f>
        <v>0.71940999999999999</v>
      </c>
      <c r="AG96" s="50" t="str">
        <f ca="1">IF(ISNUMBER(AC96*AD96*K97),AC96*AD96*K97,"")</f>
        <v/>
      </c>
      <c r="AH96" s="48">
        <f>IF(T96="Jakelukuorma-auto",0,IF(T96="Maansiirtoauto",4,IF(T96="Puoliperävaunu",6,8)))</f>
        <v>4</v>
      </c>
      <c r="AI96" s="48">
        <f>IF(AND(T96="Jakelukuorma-auto",U96=6),0,IF(AND(T96="Jakelukuorma-auto",U96=15),2,0))</f>
        <v>0</v>
      </c>
      <c r="AJ96" s="48">
        <f>IF(W96="maantieajo",0,1)</f>
        <v>0</v>
      </c>
      <c r="AK96" s="108"/>
      <c r="AL96" s="36"/>
      <c r="AM96" s="36"/>
      <c r="AN96" s="37"/>
      <c r="AO96" s="37"/>
      <c r="AP96" s="37"/>
      <c r="AQ96" s="37"/>
      <c r="AR96" s="37"/>
      <c r="AS96" s="37"/>
      <c r="AT96" s="37"/>
      <c r="AU96" s="37"/>
      <c r="AV96" s="37"/>
      <c r="AW96" s="37"/>
      <c r="AX96" s="37"/>
      <c r="AY96" s="37"/>
      <c r="AZ96" s="37"/>
      <c r="BA96" s="37"/>
      <c r="BB96" s="37"/>
      <c r="BC96" s="37"/>
      <c r="BD96" s="37"/>
      <c r="BE96" s="37"/>
      <c r="BF96" s="108"/>
      <c r="BG96" s="108"/>
    </row>
    <row r="97" spans="2:59" s="31" customFormat="1" ht="31" x14ac:dyDescent="0.3">
      <c r="B97" s="170" t="s">
        <v>512</v>
      </c>
      <c r="C97" s="392" t="s">
        <v>84</v>
      </c>
      <c r="D97" s="393"/>
      <c r="E97" s="393"/>
      <c r="F97" s="393"/>
      <c r="G97" s="394"/>
      <c r="H97" s="84"/>
      <c r="I97" s="84"/>
      <c r="J97" s="33" t="s">
        <v>442</v>
      </c>
      <c r="K97" s="96">
        <f ca="1">IF(ISNUMBER(L97),L97,IF($C$148="Ei","",IF(AND($C$148="Kyllä",OR(C97=Pudotusvalikot!$D$14,C97=Pudotusvalikot!$D$15)),Kalusto!$G$97,OFFSET(Kalusto!$G$85,AH96+AJ96+AI96,0,1,1)))*IF(OR(C98=Pudotusvalikot!$V$3,C98=Pudotusvalikot!$V$4),Muut!$E$38,IF(C98=Pudotusvalikot!$V$5,Muut!$E$39,IF(C98=Pudotusvalikot!$V$6,Muut!$E$40,Muut!$E$41))))</f>
        <v>0.71940999999999999</v>
      </c>
      <c r="L97" s="40"/>
      <c r="M97" s="41" t="s">
        <v>204</v>
      </c>
      <c r="N97" s="41"/>
      <c r="O97" s="265"/>
      <c r="P97" s="147"/>
      <c r="Q97" s="105"/>
      <c r="R97" s="36"/>
      <c r="S97" s="36"/>
      <c r="T97" s="36"/>
      <c r="U97" s="36"/>
      <c r="V97" s="36"/>
      <c r="W97" s="36"/>
      <c r="X97" s="36"/>
      <c r="Y97" s="36"/>
      <c r="Z97" s="36"/>
      <c r="AA97" s="36"/>
      <c r="AB97" s="36"/>
      <c r="AC97" s="36"/>
      <c r="AD97" s="36"/>
      <c r="AE97" s="36"/>
      <c r="AF97" s="36"/>
      <c r="AG97" s="36"/>
      <c r="AH97" s="36"/>
      <c r="AI97" s="36"/>
      <c r="AJ97" s="36"/>
      <c r="AK97" s="108"/>
      <c r="AL97" s="36"/>
      <c r="AM97" s="36"/>
      <c r="AN97" s="37"/>
      <c r="AO97" s="37"/>
      <c r="AP97" s="37"/>
      <c r="AQ97" s="37"/>
      <c r="AR97" s="37"/>
      <c r="AS97" s="37"/>
      <c r="AT97" s="37"/>
      <c r="AU97" s="37"/>
      <c r="AV97" s="37"/>
      <c r="AW97" s="37"/>
      <c r="AX97" s="37"/>
      <c r="AY97" s="37"/>
      <c r="AZ97" s="37"/>
      <c r="BA97" s="37"/>
      <c r="BB97" s="37"/>
      <c r="BC97" s="37"/>
      <c r="BD97" s="37"/>
      <c r="BE97" s="37"/>
      <c r="BF97" s="108"/>
      <c r="BG97" s="108"/>
    </row>
    <row r="98" spans="2:59" s="31" customFormat="1" ht="15.5" x14ac:dyDescent="0.3">
      <c r="B98" s="186" t="s">
        <v>506</v>
      </c>
      <c r="C98" s="160" t="s">
        <v>242</v>
      </c>
      <c r="D98" s="34"/>
      <c r="E98" s="34"/>
      <c r="F98" s="34"/>
      <c r="G98" s="34"/>
      <c r="H98" s="59"/>
      <c r="J98" s="173"/>
      <c r="K98" s="173"/>
      <c r="L98" s="173"/>
      <c r="M98" s="41"/>
      <c r="N98" s="41"/>
      <c r="O98" s="265"/>
      <c r="Q98" s="47"/>
      <c r="R98" s="102"/>
      <c r="S98" s="102"/>
      <c r="T98" s="36"/>
      <c r="U98" s="36"/>
      <c r="V98" s="181"/>
      <c r="W98" s="181"/>
      <c r="X98" s="61"/>
      <c r="Y98" s="36"/>
      <c r="Z98" s="61"/>
      <c r="AA98" s="182"/>
      <c r="AB98" s="61"/>
      <c r="AC98" s="61"/>
      <c r="AD98" s="61"/>
      <c r="AE98" s="61"/>
      <c r="AF98" s="182"/>
      <c r="AG98" s="61"/>
      <c r="AH98" s="36"/>
      <c r="AI98" s="36"/>
      <c r="AJ98" s="36"/>
      <c r="AK98" s="108"/>
      <c r="AL98" s="36"/>
      <c r="AM98" s="36"/>
      <c r="AN98" s="37"/>
      <c r="AO98" s="37"/>
      <c r="AP98" s="37"/>
      <c r="AQ98" s="37"/>
      <c r="AR98" s="37"/>
      <c r="AS98" s="37"/>
      <c r="AT98" s="37"/>
      <c r="AU98" s="37"/>
      <c r="AV98" s="37"/>
      <c r="AW98" s="37"/>
      <c r="AX98" s="37"/>
      <c r="AY98" s="37"/>
      <c r="AZ98" s="37"/>
      <c r="BA98" s="37"/>
      <c r="BB98" s="37"/>
      <c r="BC98" s="37"/>
      <c r="BD98" s="37"/>
      <c r="BE98" s="37"/>
    </row>
    <row r="99" spans="2:59" s="31" customFormat="1" ht="15.5" x14ac:dyDescent="0.3">
      <c r="B99" s="45" t="s">
        <v>525</v>
      </c>
      <c r="C99" s="162"/>
      <c r="D99" s="84" t="s">
        <v>5</v>
      </c>
      <c r="G99" s="34"/>
      <c r="H99" s="84"/>
      <c r="I99" s="84"/>
      <c r="J99" s="33"/>
      <c r="K99" s="34"/>
      <c r="L99" s="34"/>
      <c r="M99" s="84"/>
      <c r="N99" s="84"/>
      <c r="O99" s="100"/>
      <c r="P99" s="150"/>
      <c r="Q99" s="105"/>
      <c r="R99" s="36"/>
      <c r="S99" s="36"/>
      <c r="T99" s="36"/>
      <c r="U99" s="36"/>
      <c r="V99" s="36"/>
      <c r="W99" s="36"/>
      <c r="X99" s="36"/>
      <c r="Y99" s="36"/>
      <c r="Z99" s="36"/>
      <c r="AA99" s="36"/>
      <c r="AB99" s="36"/>
      <c r="AC99" s="36"/>
      <c r="AD99" s="36"/>
      <c r="AE99" s="36"/>
      <c r="AF99" s="36"/>
      <c r="AG99" s="36"/>
      <c r="AH99" s="36"/>
      <c r="AI99" s="36"/>
      <c r="AJ99" s="36"/>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15.5" x14ac:dyDescent="0.3">
      <c r="B100" s="95" t="str">
        <f>IF(LEFT(B86,6)="Murske","Murske",B86)</f>
        <v>Murske</v>
      </c>
      <c r="C100" s="34"/>
      <c r="D100" s="84"/>
      <c r="G100" s="34"/>
      <c r="H100" s="84"/>
      <c r="I100" s="84"/>
      <c r="J100" s="33"/>
      <c r="K100" s="38" t="s">
        <v>329</v>
      </c>
      <c r="L100" s="38" t="s">
        <v>201</v>
      </c>
      <c r="M100" s="86"/>
      <c r="N100" s="86"/>
      <c r="O100" s="266"/>
      <c r="P100" s="148"/>
      <c r="Q100" s="37"/>
      <c r="R100" s="36" t="s">
        <v>350</v>
      </c>
      <c r="S100" s="36"/>
      <c r="T100" s="36" t="s">
        <v>446</v>
      </c>
      <c r="U100" s="36" t="s">
        <v>445</v>
      </c>
      <c r="V100" s="44" t="s">
        <v>443</v>
      </c>
      <c r="W100" s="36" t="s">
        <v>444</v>
      </c>
      <c r="X100" s="44" t="s">
        <v>447</v>
      </c>
      <c r="Y100" s="44" t="s">
        <v>449</v>
      </c>
      <c r="Z100" s="44" t="s">
        <v>448</v>
      </c>
      <c r="AA100" s="44" t="s">
        <v>202</v>
      </c>
      <c r="AB100" s="44" t="s">
        <v>380</v>
      </c>
      <c r="AC100" s="44" t="s">
        <v>450</v>
      </c>
      <c r="AD100" s="44" t="s">
        <v>381</v>
      </c>
      <c r="AE100" s="44" t="s">
        <v>451</v>
      </c>
      <c r="AF100" s="44" t="s">
        <v>452</v>
      </c>
      <c r="AG100" s="44" t="s">
        <v>638</v>
      </c>
      <c r="AH100" s="36" t="s">
        <v>206</v>
      </c>
      <c r="AI100" s="36" t="s">
        <v>278</v>
      </c>
      <c r="AJ100" s="36" t="s">
        <v>207</v>
      </c>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46.5" x14ac:dyDescent="0.3">
      <c r="B101" s="45" t="s">
        <v>526</v>
      </c>
      <c r="C101" s="112" t="str">
        <f>IF(ISNUMBER(C86),C86,"")</f>
        <v/>
      </c>
      <c r="D101" s="113" t="str">
        <f>D86</f>
        <v>m3ktr</v>
      </c>
      <c r="G101" s="112">
        <f>IF(ISNUMBER(G86),G86,"")</f>
        <v>1.6666666666666667</v>
      </c>
      <c r="H101" s="84" t="str">
        <f>IF(D101="t","t/t","t/m3")</f>
        <v>t/m3</v>
      </c>
      <c r="I101" s="84"/>
      <c r="J101" s="173" t="s">
        <v>441</v>
      </c>
      <c r="K101" s="96">
        <f>IF(ISNUMBER(L101),L101,IF(OR(C102=Pudotusvalikot!$D$14,C102=Pudotusvalikot!$D$15),Kalusto!$G$96,VLOOKUP(C102,Kalusto!$C$44:$G$83,5,FALSE))*IF(OR(C103=Pudotusvalikot!$V$3,C103=Pudotusvalikot!$V$4),Muut!$E$38,IF(C103=Pudotusvalikot!$V$5,Muut!$E$39,IF(C103=Pudotusvalikot!$V$6,Muut!$E$40,Muut!$E$41))))</f>
        <v>6.1090000000000005E-2</v>
      </c>
      <c r="L101" s="40"/>
      <c r="M101" s="41" t="s">
        <v>200</v>
      </c>
      <c r="N101" s="41"/>
      <c r="O101" s="265"/>
      <c r="P101" s="149"/>
      <c r="Q101" s="104"/>
      <c r="R101" s="50" t="str">
        <f ca="1">IF(AND(NOT(ISNUMBER(AB101)),NOT(ISNUMBER(AG101))),"",IF(ISNUMBER(AB101),AB101,0)+IF(ISNUMBER(AG101),AG101,0))</f>
        <v/>
      </c>
      <c r="S101" s="102" t="s">
        <v>172</v>
      </c>
      <c r="T101" s="48" t="str">
        <f>IF(ISNUMBER(L101),"Kohdetieto",IF(OR(C102=Pudotusvalikot!$D$14,C102=Pudotusvalikot!$D$15),Kalusto!$I$96,VLOOKUP(C102,Kalusto!$C$44:$L$83,7,FALSE)))</f>
        <v>Maansiirtoauto</v>
      </c>
      <c r="U101" s="48">
        <f>IF(ISNUMBER(L101),"Kohdetieto",IF(OR(C102=Pudotusvalikot!$D$14,C102=Pudotusvalikot!$D$15),Kalusto!$J$96,VLOOKUP(C102,Kalusto!$C$44:$L$83,8,FALSE)))</f>
        <v>32</v>
      </c>
      <c r="V101" s="49">
        <f>IF(ISNUMBER(L101),"Kohdetieto",IF(OR(C102=Pudotusvalikot!$D$14,C102=Pudotusvalikot!$D$15),Kalusto!$K$96,VLOOKUP(C102,Kalusto!$C$44:$L$83,9,FALSE)))</f>
        <v>0.8</v>
      </c>
      <c r="W101" s="49" t="str">
        <f>IF(ISNUMBER(L101),"Kohdetieto",IF(OR(C102=Pudotusvalikot!$D$14,C102=Pudotusvalikot!$D$15),Kalusto!$L$96,VLOOKUP(C102,Kalusto!$C$44:$L$83,10,FALSE)))</f>
        <v>maantieajo</v>
      </c>
      <c r="X101" s="50" t="str">
        <f>IF(ISBLANK(C101),"",IF(D101="t",C101,IF(ISNUMBER(C101*G101),C101*G101,"")))</f>
        <v/>
      </c>
      <c r="Y101" s="48" t="str">
        <f>IF(ISNUMBER(C104),C104,"")</f>
        <v/>
      </c>
      <c r="Z101" s="50" t="str">
        <f>IF(ISNUMBER(X101/(U101*V101)*Y101),X101/(U101*V101)*Y101,"")</f>
        <v/>
      </c>
      <c r="AA101" s="51">
        <f>IF(ISNUMBER(L101),L101,K101)</f>
        <v>6.1090000000000005E-2</v>
      </c>
      <c r="AB101" s="50" t="str">
        <f>IF(ISNUMBER(Y101*X101*K101),Y101*X101*K101,"")</f>
        <v/>
      </c>
      <c r="AC101" s="50" t="str">
        <f>IF(C121="Kyllä",Y101,"")</f>
        <v/>
      </c>
      <c r="AD101" s="50" t="str">
        <f>IF(C121="Kyllä",IF(ISNUMBER(X101/(U101*V101)),X101/(U101*V101),""),"")</f>
        <v/>
      </c>
      <c r="AE101" s="50" t="str">
        <f>IF(ISNUMBER(AD101*AC101),AD101*AC101,"")</f>
        <v/>
      </c>
      <c r="AF101" s="51">
        <f ca="1">IF(ISNUMBER(L102),L102,K102)</f>
        <v>0.71940999999999999</v>
      </c>
      <c r="AG101" s="50" t="str">
        <f ca="1">IF(ISNUMBER(AC101*AD101*K102),AC101*AD101*K102,"")</f>
        <v/>
      </c>
      <c r="AH101" s="48">
        <f>IF(T101="Jakelukuorma-auto",0,IF(T101="Maansiirtoauto",4,IF(T101="Puoliperävaunu",6,8)))</f>
        <v>4</v>
      </c>
      <c r="AI101" s="48">
        <f>IF(AND(T101="Jakelukuorma-auto",U101=6),0,IF(AND(T101="Jakelukuorma-auto",U101=15),2,0))</f>
        <v>0</v>
      </c>
      <c r="AJ101" s="48">
        <f>IF(W101="maantieajo",0,1)</f>
        <v>0</v>
      </c>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31" x14ac:dyDescent="0.3">
      <c r="B102" s="170" t="s">
        <v>512</v>
      </c>
      <c r="C102" s="392" t="s">
        <v>84</v>
      </c>
      <c r="D102" s="393"/>
      <c r="E102" s="393"/>
      <c r="F102" s="393"/>
      <c r="G102" s="394"/>
      <c r="H102" s="84"/>
      <c r="I102" s="84"/>
      <c r="J102" s="33" t="s">
        <v>442</v>
      </c>
      <c r="K102" s="96">
        <f ca="1">IF(ISNUMBER(L102),L102,IF($C$148="Ei","",IF(AND($C$148="Kyllä",OR(C102=Pudotusvalikot!$D$14,C102=Pudotusvalikot!$D$15)),Kalusto!$G$97,OFFSET(Kalusto!$G$85,AH101+AJ101+AI101,0,1,1)))*IF(OR(C103=Pudotusvalikot!$V$3,C103=Pudotusvalikot!$V$4),Muut!$E$38,IF(C103=Pudotusvalikot!$V$5,Muut!$E$39,IF(C103=Pudotusvalikot!$V$6,Muut!$E$40,Muut!$E$41))))</f>
        <v>0.71940999999999999</v>
      </c>
      <c r="L102" s="40"/>
      <c r="M102" s="41" t="s">
        <v>204</v>
      </c>
      <c r="N102" s="41"/>
      <c r="O102" s="265"/>
      <c r="P102" s="147"/>
      <c r="Q102" s="105"/>
      <c r="R102" s="36"/>
      <c r="S102" s="36"/>
      <c r="T102" s="36"/>
      <c r="U102" s="36"/>
      <c r="V102" s="36"/>
      <c r="W102" s="36"/>
      <c r="X102" s="36"/>
      <c r="Y102" s="36"/>
      <c r="Z102" s="36"/>
      <c r="AA102" s="36"/>
      <c r="AB102" s="36"/>
      <c r="AC102" s="36"/>
      <c r="AD102" s="36"/>
      <c r="AE102" s="36"/>
      <c r="AF102" s="36"/>
      <c r="AG102" s="36"/>
      <c r="AH102" s="36"/>
      <c r="AI102" s="36"/>
      <c r="AJ102" s="36"/>
      <c r="AK102" s="108"/>
      <c r="AL102" s="36"/>
      <c r="AM102" s="36"/>
      <c r="AN102" s="37"/>
      <c r="AO102" s="37"/>
      <c r="AP102" s="37"/>
      <c r="AQ102" s="37"/>
      <c r="AR102" s="37"/>
      <c r="AS102" s="37"/>
      <c r="AT102" s="37"/>
      <c r="AU102" s="37"/>
      <c r="AV102" s="37"/>
      <c r="AW102" s="37"/>
      <c r="AX102" s="37"/>
      <c r="AY102" s="37"/>
      <c r="AZ102" s="37"/>
      <c r="BA102" s="37"/>
      <c r="BB102" s="37"/>
      <c r="BC102" s="37"/>
      <c r="BD102" s="37"/>
      <c r="BE102" s="37"/>
      <c r="BF102" s="108"/>
      <c r="BG102" s="108"/>
    </row>
    <row r="103" spans="2:59" s="31" customFormat="1" ht="15.5" x14ac:dyDescent="0.3">
      <c r="B103" s="186" t="s">
        <v>506</v>
      </c>
      <c r="C103" s="160" t="s">
        <v>242</v>
      </c>
      <c r="D103" s="34"/>
      <c r="E103" s="34"/>
      <c r="F103" s="34"/>
      <c r="G103" s="34"/>
      <c r="H103" s="59"/>
      <c r="J103" s="173"/>
      <c r="K103" s="173"/>
      <c r="L103" s="173"/>
      <c r="M103" s="41"/>
      <c r="N103" s="41"/>
      <c r="O103" s="265"/>
      <c r="Q103" s="47"/>
      <c r="R103" s="102"/>
      <c r="S103" s="102"/>
      <c r="T103" s="36"/>
      <c r="U103" s="36"/>
      <c r="V103" s="181"/>
      <c r="W103" s="181"/>
      <c r="X103" s="61"/>
      <c r="Y103" s="36"/>
      <c r="Z103" s="61"/>
      <c r="AA103" s="182"/>
      <c r="AB103" s="61"/>
      <c r="AC103" s="61"/>
      <c r="AD103" s="61"/>
      <c r="AE103" s="61"/>
      <c r="AF103" s="182"/>
      <c r="AG103" s="61"/>
      <c r="AH103" s="36"/>
      <c r="AI103" s="36"/>
      <c r="AJ103" s="36"/>
      <c r="AK103" s="108"/>
      <c r="AL103" s="36"/>
      <c r="AM103" s="36"/>
      <c r="AN103" s="37"/>
      <c r="AO103" s="37"/>
      <c r="AP103" s="37"/>
      <c r="AQ103" s="37"/>
      <c r="AR103" s="37"/>
      <c r="AS103" s="37"/>
      <c r="AT103" s="37"/>
      <c r="AU103" s="37"/>
      <c r="AV103" s="37"/>
      <c r="AW103" s="37"/>
      <c r="AX103" s="37"/>
      <c r="AY103" s="37"/>
      <c r="AZ103" s="37"/>
      <c r="BA103" s="37"/>
      <c r="BB103" s="37"/>
      <c r="BC103" s="37"/>
      <c r="BD103" s="37"/>
      <c r="BE103" s="37"/>
    </row>
    <row r="104" spans="2:59" s="31" customFormat="1" ht="15.5" x14ac:dyDescent="0.3">
      <c r="B104" s="45" t="s">
        <v>525</v>
      </c>
      <c r="C104" s="162"/>
      <c r="D104" s="84" t="s">
        <v>5</v>
      </c>
      <c r="G104" s="34"/>
      <c r="H104" s="84"/>
      <c r="I104" s="84"/>
      <c r="J104" s="33"/>
      <c r="K104" s="34"/>
      <c r="L104" s="34"/>
      <c r="M104" s="84"/>
      <c r="N104" s="84"/>
      <c r="O104" s="100"/>
      <c r="P104" s="150"/>
      <c r="Q104" s="105"/>
      <c r="R104" s="36"/>
      <c r="S104" s="36"/>
      <c r="T104" s="36"/>
      <c r="U104" s="36"/>
      <c r="V104" s="36"/>
      <c r="W104" s="36"/>
      <c r="X104" s="36"/>
      <c r="Y104" s="36"/>
      <c r="Z104" s="36"/>
      <c r="AA104" s="36"/>
      <c r="AB104" s="36"/>
      <c r="AC104" s="36"/>
      <c r="AD104" s="36"/>
      <c r="AE104" s="36"/>
      <c r="AF104" s="36"/>
      <c r="AG104" s="36"/>
      <c r="AH104" s="36"/>
      <c r="AI104" s="36"/>
      <c r="AJ104" s="36"/>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15.5" x14ac:dyDescent="0.3">
      <c r="B105" s="95" t="str">
        <f>IF(LEFT(B87,4)="Sora","Sora",B87)</f>
        <v>Sora</v>
      </c>
      <c r="C105" s="34"/>
      <c r="D105" s="84"/>
      <c r="G105" s="34"/>
      <c r="H105" s="84"/>
      <c r="I105" s="84"/>
      <c r="J105" s="33"/>
      <c r="K105" s="38" t="s">
        <v>329</v>
      </c>
      <c r="L105" s="38" t="s">
        <v>201</v>
      </c>
      <c r="M105" s="86"/>
      <c r="N105" s="86"/>
      <c r="O105" s="266"/>
      <c r="P105" s="148"/>
      <c r="Q105" s="37"/>
      <c r="R105" s="36" t="s">
        <v>350</v>
      </c>
      <c r="S105" s="36"/>
      <c r="T105" s="36" t="s">
        <v>446</v>
      </c>
      <c r="U105" s="36" t="s">
        <v>445</v>
      </c>
      <c r="V105" s="44" t="s">
        <v>443</v>
      </c>
      <c r="W105" s="36" t="s">
        <v>444</v>
      </c>
      <c r="X105" s="44" t="s">
        <v>447</v>
      </c>
      <c r="Y105" s="44" t="s">
        <v>449</v>
      </c>
      <c r="Z105" s="44" t="s">
        <v>448</v>
      </c>
      <c r="AA105" s="44" t="s">
        <v>202</v>
      </c>
      <c r="AB105" s="44" t="s">
        <v>380</v>
      </c>
      <c r="AC105" s="44" t="s">
        <v>450</v>
      </c>
      <c r="AD105" s="44" t="s">
        <v>381</v>
      </c>
      <c r="AE105" s="44" t="s">
        <v>451</v>
      </c>
      <c r="AF105" s="44" t="s">
        <v>452</v>
      </c>
      <c r="AG105" s="44" t="s">
        <v>638</v>
      </c>
      <c r="AH105" s="36" t="s">
        <v>206</v>
      </c>
      <c r="AI105" s="36" t="s">
        <v>278</v>
      </c>
      <c r="AJ105" s="36" t="s">
        <v>207</v>
      </c>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46.5" x14ac:dyDescent="0.3">
      <c r="B106" s="45" t="s">
        <v>526</v>
      </c>
      <c r="C106" s="112" t="str">
        <f>IF(ISNUMBER(C87),C87,"")</f>
        <v/>
      </c>
      <c r="D106" s="113" t="str">
        <f>D87</f>
        <v>m3ktr</v>
      </c>
      <c r="G106" s="112">
        <f>IF(ISNUMBER(G87),G87,"")</f>
        <v>1.6666666666666667</v>
      </c>
      <c r="H106" s="84" t="str">
        <f>IF(D106="t","t/t","t/m3")</f>
        <v>t/m3</v>
      </c>
      <c r="I106" s="84"/>
      <c r="J106" s="173" t="s">
        <v>441</v>
      </c>
      <c r="K106" s="96">
        <f>IF(ISNUMBER(L106),L106,IF(OR(C107=Pudotusvalikot!$D$14,C107=Pudotusvalikot!$D$15),Kalusto!$G$96,VLOOKUP(C107,Kalusto!$C$44:$G$83,5,FALSE))*IF(OR(C108=Pudotusvalikot!$V$3,C108=Pudotusvalikot!$V$4),Muut!$E$38,IF(C108=Pudotusvalikot!$V$5,Muut!$E$39,IF(C108=Pudotusvalikot!$V$6,Muut!$E$40,Muut!$E$41))))</f>
        <v>6.1090000000000005E-2</v>
      </c>
      <c r="L106" s="40"/>
      <c r="M106" s="41" t="s">
        <v>200</v>
      </c>
      <c r="N106" s="41"/>
      <c r="O106" s="265"/>
      <c r="P106" s="149"/>
      <c r="Q106" s="104"/>
      <c r="R106" s="50" t="str">
        <f ca="1">IF(AND(NOT(ISNUMBER(AB106)),NOT(ISNUMBER(AG106))),"",IF(ISNUMBER(AB106),AB106,0)+IF(ISNUMBER(AG106),AG106,0))</f>
        <v/>
      </c>
      <c r="S106" s="102" t="s">
        <v>172</v>
      </c>
      <c r="T106" s="48" t="str">
        <f>IF(ISNUMBER(L106),"Kohdetieto",IF(OR(C107=Pudotusvalikot!$D$14,C107=Pudotusvalikot!$D$15),Kalusto!$I$96,VLOOKUP(C107,Kalusto!$C$44:$L$83,7,FALSE)))</f>
        <v>Maansiirtoauto</v>
      </c>
      <c r="U106" s="48">
        <f>IF(ISNUMBER(L106),"Kohdetieto",IF(OR(C107=Pudotusvalikot!$D$14,C107=Pudotusvalikot!$D$15),Kalusto!$J$96,VLOOKUP(C107,Kalusto!$C$44:$L$83,8,FALSE)))</f>
        <v>32</v>
      </c>
      <c r="V106" s="49">
        <f>IF(ISNUMBER(L106),"Kohdetieto",IF(OR(C107=Pudotusvalikot!$D$14,C107=Pudotusvalikot!$D$15),Kalusto!$K$96,VLOOKUP(C107,Kalusto!$C$44:$L$83,9,FALSE)))</f>
        <v>0.8</v>
      </c>
      <c r="W106" s="49" t="str">
        <f>IF(ISNUMBER(L106),"Kohdetieto",IF(OR(C107=Pudotusvalikot!$D$14,C107=Pudotusvalikot!$D$15),Kalusto!$L$96,VLOOKUP(C107,Kalusto!$C$44:$L$83,10,FALSE)))</f>
        <v>maantieajo</v>
      </c>
      <c r="X106" s="50" t="str">
        <f>IF(ISBLANK(C106),"",IF(D106="t",C106,IF(ISNUMBER(C106*G106),C106*G106,"")))</f>
        <v/>
      </c>
      <c r="Y106" s="48" t="str">
        <f>IF(ISNUMBER(C109),C109,"")</f>
        <v/>
      </c>
      <c r="Z106" s="50" t="str">
        <f>IF(ISNUMBER(X106/(U106*V106)*Y106),X106/(U106*V106)*Y106,"")</f>
        <v/>
      </c>
      <c r="AA106" s="51">
        <f>IF(ISNUMBER(L106),L106,K106)</f>
        <v>6.1090000000000005E-2</v>
      </c>
      <c r="AB106" s="50" t="str">
        <f>IF(ISNUMBER(Y106*X106*K106),Y106*X106*K106,"")</f>
        <v/>
      </c>
      <c r="AC106" s="50" t="str">
        <f>IF(C121="Kyllä",Y106,"")</f>
        <v/>
      </c>
      <c r="AD106" s="50" t="str">
        <f>IF(C121="Kyllä",IF(ISNUMBER(X106/(U106*V106)),X106/(U106*V106),""),"")</f>
        <v/>
      </c>
      <c r="AE106" s="50" t="str">
        <f>IF(ISNUMBER(AD106*AC106),AD106*AC106,"")</f>
        <v/>
      </c>
      <c r="AF106" s="51">
        <f ca="1">IF(ISNUMBER(L107),L107,K107)</f>
        <v>0.71940999999999999</v>
      </c>
      <c r="AG106" s="50" t="str">
        <f ca="1">IF(ISNUMBER(AC106*AD106*K107),AC106*AD106*K107,"")</f>
        <v/>
      </c>
      <c r="AH106" s="48">
        <f>IF(T106="Jakelukuorma-auto",0,IF(T106="Maansiirtoauto",4,IF(T106="Puoliperävaunu",6,8)))</f>
        <v>4</v>
      </c>
      <c r="AI106" s="48">
        <f>IF(AND(T106="Jakelukuorma-auto",U106=6),0,IF(AND(T106="Jakelukuorma-auto",U106=15),2,0))</f>
        <v>0</v>
      </c>
      <c r="AJ106" s="48">
        <f>IF(W106="maantieajo",0,1)</f>
        <v>0</v>
      </c>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31" x14ac:dyDescent="0.3">
      <c r="B107" s="170" t="s">
        <v>512</v>
      </c>
      <c r="C107" s="392" t="s">
        <v>84</v>
      </c>
      <c r="D107" s="393"/>
      <c r="E107" s="393"/>
      <c r="F107" s="393"/>
      <c r="G107" s="394"/>
      <c r="H107" s="84"/>
      <c r="I107" s="84"/>
      <c r="J107" s="33" t="s">
        <v>442</v>
      </c>
      <c r="K107" s="96">
        <f ca="1">IF(ISNUMBER(L107),L107,IF($C$148="Ei","",IF(AND($C$148="Kyllä",OR(C107=Pudotusvalikot!$D$14,C107=Pudotusvalikot!$D$15)),Kalusto!$G$97,OFFSET(Kalusto!$G$85,AH106+AJ106+AI106,0,1,1)))*IF(OR(C108=Pudotusvalikot!$V$3,C108=Pudotusvalikot!$V$4),Muut!$E$38,IF(C108=Pudotusvalikot!$V$5,Muut!$E$39,IF(C108=Pudotusvalikot!$V$6,Muut!$E$40,Muut!$E$41))))</f>
        <v>0.71940999999999999</v>
      </c>
      <c r="L107" s="40"/>
      <c r="M107" s="41" t="s">
        <v>204</v>
      </c>
      <c r="N107" s="41"/>
      <c r="O107" s="265"/>
      <c r="P107" s="147"/>
      <c r="Q107" s="105"/>
      <c r="R107" s="36"/>
      <c r="S107" s="36"/>
      <c r="T107" s="36"/>
      <c r="U107" s="36"/>
      <c r="V107" s="36"/>
      <c r="W107" s="36"/>
      <c r="X107" s="36"/>
      <c r="Y107" s="36"/>
      <c r="Z107" s="36"/>
      <c r="AA107" s="36"/>
      <c r="AB107" s="36"/>
      <c r="AC107" s="36"/>
      <c r="AD107" s="36"/>
      <c r="AE107" s="36"/>
      <c r="AF107" s="36"/>
      <c r="AG107" s="36"/>
      <c r="AH107" s="36"/>
      <c r="AI107" s="36"/>
      <c r="AJ107" s="36"/>
      <c r="AK107" s="108"/>
      <c r="AL107" s="36"/>
      <c r="AM107" s="36"/>
      <c r="AN107" s="37"/>
      <c r="AO107" s="37"/>
      <c r="AP107" s="37"/>
      <c r="AQ107" s="37"/>
      <c r="AR107" s="37"/>
      <c r="AS107" s="37"/>
      <c r="AT107" s="37"/>
      <c r="AU107" s="37"/>
      <c r="AV107" s="37"/>
      <c r="AW107" s="37"/>
      <c r="AX107" s="37"/>
      <c r="AY107" s="37"/>
      <c r="AZ107" s="37"/>
      <c r="BA107" s="37"/>
      <c r="BB107" s="37"/>
      <c r="BC107" s="37"/>
      <c r="BD107" s="37"/>
      <c r="BE107" s="37"/>
      <c r="BF107" s="108"/>
      <c r="BG107" s="108"/>
    </row>
    <row r="108" spans="2:59" s="31" customFormat="1" ht="15.5" x14ac:dyDescent="0.3">
      <c r="B108" s="186" t="s">
        <v>506</v>
      </c>
      <c r="C108" s="160" t="s">
        <v>242</v>
      </c>
      <c r="D108" s="34"/>
      <c r="E108" s="34"/>
      <c r="F108" s="34"/>
      <c r="G108" s="34"/>
      <c r="H108" s="59"/>
      <c r="J108" s="173"/>
      <c r="K108" s="173"/>
      <c r="L108" s="173"/>
      <c r="M108" s="41"/>
      <c r="N108" s="41"/>
      <c r="O108" s="265"/>
      <c r="Q108" s="47"/>
      <c r="R108" s="102"/>
      <c r="S108" s="102"/>
      <c r="T108" s="36"/>
      <c r="U108" s="36"/>
      <c r="V108" s="181"/>
      <c r="W108" s="181"/>
      <c r="X108" s="61"/>
      <c r="Y108" s="36"/>
      <c r="Z108" s="61"/>
      <c r="AA108" s="182"/>
      <c r="AB108" s="61"/>
      <c r="AC108" s="61"/>
      <c r="AD108" s="61"/>
      <c r="AE108" s="61"/>
      <c r="AF108" s="182"/>
      <c r="AG108" s="61"/>
      <c r="AH108" s="36"/>
      <c r="AI108" s="36"/>
      <c r="AJ108" s="36"/>
      <c r="AK108" s="108"/>
      <c r="AL108" s="36"/>
      <c r="AM108" s="36"/>
      <c r="AN108" s="37"/>
      <c r="AO108" s="37"/>
      <c r="AP108" s="37"/>
      <c r="AQ108" s="37"/>
      <c r="AR108" s="37"/>
      <c r="AS108" s="37"/>
      <c r="AT108" s="37"/>
      <c r="AU108" s="37"/>
      <c r="AV108" s="37"/>
      <c r="AW108" s="37"/>
      <c r="AX108" s="37"/>
      <c r="AY108" s="37"/>
      <c r="AZ108" s="37"/>
      <c r="BA108" s="37"/>
      <c r="BB108" s="37"/>
      <c r="BC108" s="37"/>
      <c r="BD108" s="37"/>
      <c r="BE108" s="37"/>
    </row>
    <row r="109" spans="2:59" s="31" customFormat="1" ht="15.5" x14ac:dyDescent="0.3">
      <c r="B109" s="45" t="s">
        <v>525</v>
      </c>
      <c r="C109" s="162"/>
      <c r="D109" s="84" t="s">
        <v>5</v>
      </c>
      <c r="G109" s="34"/>
      <c r="H109" s="84"/>
      <c r="I109" s="84"/>
      <c r="J109" s="33"/>
      <c r="K109" s="34"/>
      <c r="L109" s="34"/>
      <c r="M109" s="84"/>
      <c r="N109" s="84"/>
      <c r="O109" s="100"/>
      <c r="P109" s="150"/>
      <c r="Q109" s="105"/>
      <c r="R109" s="36"/>
      <c r="S109" s="36"/>
      <c r="T109" s="36"/>
      <c r="U109" s="36"/>
      <c r="V109" s="36"/>
      <c r="W109" s="36"/>
      <c r="X109" s="36"/>
      <c r="Y109" s="36"/>
      <c r="Z109" s="36"/>
      <c r="AA109" s="36"/>
      <c r="AB109" s="36"/>
      <c r="AC109" s="36"/>
      <c r="AD109" s="36"/>
      <c r="AE109" s="36"/>
      <c r="AF109" s="36"/>
      <c r="AG109" s="36"/>
      <c r="AH109" s="36"/>
      <c r="AI109" s="36"/>
      <c r="AJ109" s="36"/>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15.5" x14ac:dyDescent="0.3">
      <c r="B110" s="95" t="str">
        <f>IF(LEFT(B88,6)="Hiekka","Hiekka",B88)</f>
        <v>Hiekka</v>
      </c>
      <c r="C110" s="34"/>
      <c r="D110" s="84"/>
      <c r="G110" s="34"/>
      <c r="H110" s="84"/>
      <c r="I110" s="84"/>
      <c r="J110" s="33"/>
      <c r="K110" s="38" t="s">
        <v>329</v>
      </c>
      <c r="L110" s="38" t="s">
        <v>201</v>
      </c>
      <c r="M110" s="86"/>
      <c r="N110" s="86"/>
      <c r="O110" s="266"/>
      <c r="P110" s="148"/>
      <c r="Q110" s="37"/>
      <c r="R110" s="36" t="s">
        <v>350</v>
      </c>
      <c r="S110" s="36"/>
      <c r="T110" s="36" t="s">
        <v>446</v>
      </c>
      <c r="U110" s="36" t="s">
        <v>445</v>
      </c>
      <c r="V110" s="44" t="s">
        <v>443</v>
      </c>
      <c r="W110" s="36" t="s">
        <v>444</v>
      </c>
      <c r="X110" s="44" t="s">
        <v>447</v>
      </c>
      <c r="Y110" s="44" t="s">
        <v>449</v>
      </c>
      <c r="Z110" s="44" t="s">
        <v>448</v>
      </c>
      <c r="AA110" s="44" t="s">
        <v>202</v>
      </c>
      <c r="AB110" s="44" t="s">
        <v>380</v>
      </c>
      <c r="AC110" s="44" t="s">
        <v>450</v>
      </c>
      <c r="AD110" s="44" t="s">
        <v>381</v>
      </c>
      <c r="AE110" s="44" t="s">
        <v>451</v>
      </c>
      <c r="AF110" s="44" t="s">
        <v>452</v>
      </c>
      <c r="AG110" s="44" t="s">
        <v>638</v>
      </c>
      <c r="AH110" s="36" t="s">
        <v>206</v>
      </c>
      <c r="AI110" s="36" t="s">
        <v>278</v>
      </c>
      <c r="AJ110" s="36" t="s">
        <v>207</v>
      </c>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46.5" x14ac:dyDescent="0.3">
      <c r="B111" s="45" t="s">
        <v>526</v>
      </c>
      <c r="C111" s="112" t="str">
        <f>IF(ISNUMBER(C88),C88,"")</f>
        <v/>
      </c>
      <c r="D111" s="113" t="str">
        <f>D88</f>
        <v>m3ktr</v>
      </c>
      <c r="G111" s="112">
        <f>IF(ISNUMBER(G88),G88,"")</f>
        <v>1.4285714285714286</v>
      </c>
      <c r="H111" s="84" t="str">
        <f>IF(D111="t","t/t","t/m3")</f>
        <v>t/m3</v>
      </c>
      <c r="I111" s="84"/>
      <c r="J111" s="173" t="s">
        <v>441</v>
      </c>
      <c r="K111" s="96">
        <f>IF(ISNUMBER(L111),L111,IF(OR(C112=Pudotusvalikot!$D$14,C112=Pudotusvalikot!$D$15),Kalusto!$G$96,VLOOKUP(C112,Kalusto!$C$44:$G$83,5,FALSE))*IF(OR(C113=Pudotusvalikot!$V$3,C113=Pudotusvalikot!$V$4),Muut!$E$38,IF(C113=Pudotusvalikot!$V$5,Muut!$E$39,IF(C113=Pudotusvalikot!$V$6,Muut!$E$40,Muut!$E$41))))</f>
        <v>6.1090000000000005E-2</v>
      </c>
      <c r="L111" s="40"/>
      <c r="M111" s="41" t="s">
        <v>200</v>
      </c>
      <c r="N111" s="41"/>
      <c r="O111" s="265"/>
      <c r="P111" s="149"/>
      <c r="Q111" s="104"/>
      <c r="R111" s="50" t="str">
        <f ca="1">IF(AND(NOT(ISNUMBER(AB111)),NOT(ISNUMBER(AG111))),"",IF(ISNUMBER(AB111),AB111,0)+IF(ISNUMBER(AG111),AG111,0))</f>
        <v/>
      </c>
      <c r="S111" s="102" t="s">
        <v>172</v>
      </c>
      <c r="T111" s="48" t="str">
        <f>IF(ISNUMBER(L111),"Kohdetieto",IF(OR(C112=Pudotusvalikot!$D$14,C112=Pudotusvalikot!$D$15),Kalusto!$I$96,VLOOKUP(C112,Kalusto!$C$44:$L$83,7,FALSE)))</f>
        <v>Maansiirtoauto</v>
      </c>
      <c r="U111" s="48">
        <f>IF(ISNUMBER(L111),"Kohdetieto",IF(OR(C112=Pudotusvalikot!$D$14,C112=Pudotusvalikot!$D$15),Kalusto!$J$96,VLOOKUP(C112,Kalusto!$C$44:$L$83,8,FALSE)))</f>
        <v>32</v>
      </c>
      <c r="V111" s="49">
        <f>IF(ISNUMBER(L111),"Kohdetieto",IF(OR(C112=Pudotusvalikot!$D$14,C112=Pudotusvalikot!$D$15),Kalusto!$K$96,VLOOKUP(C112,Kalusto!$C$44:$L$83,9,FALSE)))</f>
        <v>0.8</v>
      </c>
      <c r="W111" s="49" t="str">
        <f>IF(ISNUMBER(L111),"Kohdetieto",IF(OR(C112=Pudotusvalikot!$D$14,C112=Pudotusvalikot!$D$15),Kalusto!$L$96,VLOOKUP(C112,Kalusto!$C$44:$L$83,10,FALSE)))</f>
        <v>maantieajo</v>
      </c>
      <c r="X111" s="50" t="str">
        <f>IF(ISBLANK(C111),"",IF(D111="t",C111,IF(ISNUMBER(C111*G111),C111*G111,"")))</f>
        <v/>
      </c>
      <c r="Y111" s="48" t="str">
        <f>IF(ISNUMBER(C114),C114,"")</f>
        <v/>
      </c>
      <c r="Z111" s="50" t="str">
        <f>IF(ISNUMBER(X111/(U111*V111)*Y111),X111/(U111*V111)*Y111,"")</f>
        <v/>
      </c>
      <c r="AA111" s="51">
        <f>IF(ISNUMBER(L111),L111,K111)</f>
        <v>6.1090000000000005E-2</v>
      </c>
      <c r="AB111" s="50" t="str">
        <f>IF(ISNUMBER(Y111*X111*K111),Y111*X111*K111,"")</f>
        <v/>
      </c>
      <c r="AC111" s="50" t="str">
        <f>IF(C121="Kyllä",Y111,"")</f>
        <v/>
      </c>
      <c r="AD111" s="50" t="str">
        <f>IF(C121="Kyllä",IF(ISNUMBER(X111/(U111*V111)),X111/(U111*V111),""),"")</f>
        <v/>
      </c>
      <c r="AE111" s="50" t="str">
        <f>IF(ISNUMBER(AD111*AC111),AD111*AC111,"")</f>
        <v/>
      </c>
      <c r="AF111" s="51">
        <f ca="1">IF(ISNUMBER(L112),L112,K112)</f>
        <v>0.71940999999999999</v>
      </c>
      <c r="AG111" s="50" t="str">
        <f ca="1">IF(ISNUMBER(AC111*AD111*K112),AC111*AD111*K112,"")</f>
        <v/>
      </c>
      <c r="AH111" s="48">
        <f>IF(T111="Jakelukuorma-auto",0,IF(T111="Maansiirtoauto",4,IF(T111="Puoliperävaunu",6,8)))</f>
        <v>4</v>
      </c>
      <c r="AI111" s="48">
        <f>IF(AND(T111="Jakelukuorma-auto",U111=6),0,IF(AND(T111="Jakelukuorma-auto",U111=15),2,0))</f>
        <v>0</v>
      </c>
      <c r="AJ111" s="48">
        <f>IF(W111="maantieajo",0,1)</f>
        <v>0</v>
      </c>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31" x14ac:dyDescent="0.3">
      <c r="B112" s="170" t="s">
        <v>512</v>
      </c>
      <c r="C112" s="392" t="s">
        <v>84</v>
      </c>
      <c r="D112" s="393"/>
      <c r="E112" s="393"/>
      <c r="F112" s="393"/>
      <c r="G112" s="394"/>
      <c r="H112" s="84"/>
      <c r="I112" s="84"/>
      <c r="J112" s="33" t="s">
        <v>442</v>
      </c>
      <c r="K112" s="96">
        <f ca="1">IF(ISNUMBER(L112),L112,IF($C$148="Ei","",IF(AND($C$148="Kyllä",OR(C112=Pudotusvalikot!$D$14,C112=Pudotusvalikot!$D$15)),Kalusto!$G$97,OFFSET(Kalusto!$G$85,AH111+AJ111+AI111,0,1,1)))*IF(OR(C113=Pudotusvalikot!$V$3,C113=Pudotusvalikot!$V$4),Muut!$E$38,IF(C113=Pudotusvalikot!$V$5,Muut!$E$39,IF(C113=Pudotusvalikot!$V$6,Muut!$E$40,Muut!$E$41))))</f>
        <v>0.71940999999999999</v>
      </c>
      <c r="L112" s="40"/>
      <c r="M112" s="41" t="s">
        <v>204</v>
      </c>
      <c r="N112" s="41"/>
      <c r="O112" s="265"/>
      <c r="P112" s="147"/>
      <c r="Q112" s="105"/>
      <c r="R112" s="36"/>
      <c r="S112" s="36"/>
      <c r="T112" s="36"/>
      <c r="U112" s="36"/>
      <c r="V112" s="36"/>
      <c r="W112" s="36"/>
      <c r="X112" s="36"/>
      <c r="Y112" s="36"/>
      <c r="Z112" s="36"/>
      <c r="AA112" s="36"/>
      <c r="AB112" s="36"/>
      <c r="AC112" s="36"/>
      <c r="AD112" s="36"/>
      <c r="AE112" s="36"/>
      <c r="AF112" s="36"/>
      <c r="AG112" s="36"/>
      <c r="AH112" s="36"/>
      <c r="AI112" s="36"/>
      <c r="AJ112" s="36"/>
      <c r="AK112" s="108"/>
      <c r="AL112" s="36"/>
      <c r="AM112" s="36"/>
      <c r="AN112" s="37"/>
      <c r="AO112" s="37"/>
      <c r="AP112" s="37"/>
      <c r="AQ112" s="37"/>
      <c r="AR112" s="37"/>
      <c r="AS112" s="37"/>
      <c r="AT112" s="37"/>
      <c r="AU112" s="37"/>
      <c r="AV112" s="37"/>
      <c r="AW112" s="37"/>
      <c r="AX112" s="37"/>
      <c r="AY112" s="37"/>
      <c r="AZ112" s="37"/>
      <c r="BA112" s="37"/>
      <c r="BB112" s="37"/>
      <c r="BC112" s="37"/>
      <c r="BD112" s="37"/>
      <c r="BE112" s="37"/>
      <c r="BF112" s="108"/>
      <c r="BG112" s="108"/>
    </row>
    <row r="113" spans="2:59" s="31" customFormat="1" ht="15.5" x14ac:dyDescent="0.3">
      <c r="B113" s="186" t="s">
        <v>506</v>
      </c>
      <c r="C113" s="160" t="s">
        <v>242</v>
      </c>
      <c r="D113" s="34"/>
      <c r="E113" s="34"/>
      <c r="F113" s="34"/>
      <c r="G113" s="34"/>
      <c r="H113" s="59"/>
      <c r="J113" s="173"/>
      <c r="K113" s="173"/>
      <c r="L113" s="173"/>
      <c r="M113" s="41"/>
      <c r="N113" s="41"/>
      <c r="O113" s="265"/>
      <c r="Q113" s="47"/>
      <c r="R113" s="102"/>
      <c r="S113" s="102"/>
      <c r="T113" s="36"/>
      <c r="U113" s="36"/>
      <c r="V113" s="181"/>
      <c r="W113" s="181"/>
      <c r="X113" s="61"/>
      <c r="Y113" s="36"/>
      <c r="Z113" s="61"/>
      <c r="AA113" s="182"/>
      <c r="AB113" s="61"/>
      <c r="AC113" s="61"/>
      <c r="AD113" s="61"/>
      <c r="AE113" s="61"/>
      <c r="AF113" s="182"/>
      <c r="AG113" s="61"/>
      <c r="AH113" s="36"/>
      <c r="AI113" s="36"/>
      <c r="AJ113" s="36"/>
      <c r="AK113" s="108"/>
      <c r="AL113" s="36"/>
      <c r="AM113" s="36"/>
      <c r="AN113" s="37"/>
      <c r="AO113" s="37"/>
      <c r="AP113" s="37"/>
      <c r="AQ113" s="37"/>
      <c r="AR113" s="37"/>
      <c r="AS113" s="37"/>
      <c r="AT113" s="37"/>
      <c r="AU113" s="37"/>
      <c r="AV113" s="37"/>
      <c r="AW113" s="37"/>
      <c r="AX113" s="37"/>
      <c r="AY113" s="37"/>
      <c r="AZ113" s="37"/>
      <c r="BA113" s="37"/>
      <c r="BB113" s="37"/>
      <c r="BC113" s="37"/>
      <c r="BD113" s="37"/>
      <c r="BE113" s="37"/>
    </row>
    <row r="114" spans="2:59" s="31" customFormat="1" ht="15.5" x14ac:dyDescent="0.3">
      <c r="B114" s="45" t="s">
        <v>525</v>
      </c>
      <c r="C114" s="162"/>
      <c r="D114" s="84" t="s">
        <v>5</v>
      </c>
      <c r="G114" s="34"/>
      <c r="H114" s="84"/>
      <c r="I114" s="84"/>
      <c r="J114" s="33"/>
      <c r="K114" s="34"/>
      <c r="L114" s="34"/>
      <c r="M114" s="84"/>
      <c r="N114" s="84"/>
      <c r="O114" s="100"/>
      <c r="P114" s="150"/>
      <c r="Q114" s="105"/>
      <c r="R114" s="36"/>
      <c r="S114" s="36"/>
      <c r="T114" s="36"/>
      <c r="U114" s="36"/>
      <c r="V114" s="36"/>
      <c r="W114" s="36"/>
      <c r="X114" s="36"/>
      <c r="Y114" s="36"/>
      <c r="Z114" s="36"/>
      <c r="AA114" s="36"/>
      <c r="AB114" s="36"/>
      <c r="AC114" s="36"/>
      <c r="AD114" s="36"/>
      <c r="AE114" s="36"/>
      <c r="AF114" s="36"/>
      <c r="AG114" s="36"/>
      <c r="AH114" s="36"/>
      <c r="AI114" s="36"/>
      <c r="AJ114" s="36"/>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15.5" x14ac:dyDescent="0.3">
      <c r="B115" s="95" t="str">
        <f>B89</f>
        <v>Maa-aineksen 5 kuvaus (valitse yksikkö ja mahdollinen muuntokerroin tonneiksi)</v>
      </c>
      <c r="C115" s="34"/>
      <c r="D115" s="84"/>
      <c r="G115" s="34"/>
      <c r="H115" s="84"/>
      <c r="I115" s="84"/>
      <c r="J115" s="33"/>
      <c r="K115" s="38" t="s">
        <v>329</v>
      </c>
      <c r="L115" s="38" t="s">
        <v>201</v>
      </c>
      <c r="M115" s="86"/>
      <c r="N115" s="86"/>
      <c r="O115" s="266"/>
      <c r="P115" s="148"/>
      <c r="Q115" s="37"/>
      <c r="R115" s="36" t="s">
        <v>350</v>
      </c>
      <c r="S115" s="36"/>
      <c r="T115" s="36" t="s">
        <v>446</v>
      </c>
      <c r="U115" s="36" t="s">
        <v>445</v>
      </c>
      <c r="V115" s="44" t="s">
        <v>443</v>
      </c>
      <c r="W115" s="36" t="s">
        <v>444</v>
      </c>
      <c r="X115" s="44" t="s">
        <v>447</v>
      </c>
      <c r="Y115" s="44" t="s">
        <v>449</v>
      </c>
      <c r="Z115" s="44" t="s">
        <v>448</v>
      </c>
      <c r="AA115" s="44" t="s">
        <v>202</v>
      </c>
      <c r="AB115" s="44" t="s">
        <v>380</v>
      </c>
      <c r="AC115" s="44" t="s">
        <v>450</v>
      </c>
      <c r="AD115" s="44" t="s">
        <v>381</v>
      </c>
      <c r="AE115" s="44" t="s">
        <v>451</v>
      </c>
      <c r="AF115" s="44" t="s">
        <v>452</v>
      </c>
      <c r="AG115" s="44" t="s">
        <v>638</v>
      </c>
      <c r="AH115" s="36" t="s">
        <v>206</v>
      </c>
      <c r="AI115" s="36" t="s">
        <v>278</v>
      </c>
      <c r="AJ115" s="36" t="s">
        <v>207</v>
      </c>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46.5" x14ac:dyDescent="0.3">
      <c r="B116" s="45" t="s">
        <v>528</v>
      </c>
      <c r="C116" s="112" t="str">
        <f>IF(ISNUMBER(C89),C89,"")</f>
        <v/>
      </c>
      <c r="D116" s="113" t="str">
        <f>D89</f>
        <v>m3ktr</v>
      </c>
      <c r="G116" s="112" t="str">
        <f>IF(ISNUMBER(G89),G89,"")</f>
        <v/>
      </c>
      <c r="H116" s="84" t="str">
        <f>IF(D116="t","t/t","t/m3")</f>
        <v>t/m3</v>
      </c>
      <c r="I116" s="84"/>
      <c r="J116" s="173" t="s">
        <v>441</v>
      </c>
      <c r="K116" s="96">
        <f>IF(ISNUMBER(L116),L116,IF(OR(C117=Pudotusvalikot!$D$14,C117=Pudotusvalikot!$D$15),Kalusto!$G$96,VLOOKUP(C117,Kalusto!$C$44:$G$83,5,FALSE))*IF(OR(C118=Pudotusvalikot!$V$3,C118=Pudotusvalikot!$V$4),Muut!$E$38,IF(C118=Pudotusvalikot!$V$5,Muut!$E$39,IF(C118=Pudotusvalikot!$V$6,Muut!$E$40,Muut!$E$41))))</f>
        <v>6.1090000000000005E-2</v>
      </c>
      <c r="L116" s="40"/>
      <c r="M116" s="41" t="s">
        <v>200</v>
      </c>
      <c r="N116" s="41"/>
      <c r="O116" s="265"/>
      <c r="P116" s="149"/>
      <c r="Q116" s="104"/>
      <c r="R116" s="50" t="str">
        <f ca="1">IF(AND(NOT(ISNUMBER(AB116)),NOT(ISNUMBER(AG116))),"",IF(ISNUMBER(AB116),AB116,0)+IF(ISNUMBER(AG116),AG116,0))</f>
        <v/>
      </c>
      <c r="S116" s="102" t="s">
        <v>172</v>
      </c>
      <c r="T116" s="48" t="str">
        <f>IF(ISNUMBER(L116),"Kohdetieto",IF(OR(C117=Pudotusvalikot!$D$14,C117=Pudotusvalikot!$D$15),Kalusto!$I$96,VLOOKUP(C117,Kalusto!$C$44:$L$83,7,FALSE)))</f>
        <v>Maansiirtoauto</v>
      </c>
      <c r="U116" s="48">
        <f>IF(ISNUMBER(L116),"Kohdetieto",IF(OR(C117=Pudotusvalikot!$D$14,C117=Pudotusvalikot!$D$15),Kalusto!$J$96,VLOOKUP(C117,Kalusto!$C$44:$L$83,8,FALSE)))</f>
        <v>32</v>
      </c>
      <c r="V116" s="49">
        <f>IF(ISNUMBER(L116),"Kohdetieto",IF(OR(C117=Pudotusvalikot!$D$14,C117=Pudotusvalikot!$D$15),Kalusto!$K$96,VLOOKUP(C117,Kalusto!$C$44:$L$83,9,FALSE)))</f>
        <v>0.8</v>
      </c>
      <c r="W116" s="49" t="str">
        <f>IF(ISNUMBER(L116),"Kohdetieto",IF(OR(C117=Pudotusvalikot!$D$14,C117=Pudotusvalikot!$D$15),Kalusto!$L$96,VLOOKUP(C117,Kalusto!$C$44:$L$83,10,FALSE)))</f>
        <v>maantieajo</v>
      </c>
      <c r="X116" s="50" t="str">
        <f>IF(ISBLANK(C116),"",IF(D116="t",C116,IF(ISNUMBER(C116*G116),C116*G116,"")))</f>
        <v/>
      </c>
      <c r="Y116" s="48" t="str">
        <f>IF(ISNUMBER(C119),C119,"")</f>
        <v/>
      </c>
      <c r="Z116" s="50" t="str">
        <f>IF(ISNUMBER(X116/(U116*V116)*Y116),X116/(U116*V116)*Y116,"")</f>
        <v/>
      </c>
      <c r="AA116" s="51">
        <f>IF(ISNUMBER(L116),L116,K116)</f>
        <v>6.1090000000000005E-2</v>
      </c>
      <c r="AB116" s="50" t="str">
        <f>IF(ISNUMBER(Y116*X116*K116),Y116*X116*K116,"")</f>
        <v/>
      </c>
      <c r="AC116" s="50" t="str">
        <f>IF(C121="Kyllä",Y116,"")</f>
        <v/>
      </c>
      <c r="AD116" s="50" t="str">
        <f>IF(C121="Kyllä",IF(ISNUMBER(X116/(U116*V116)),X116/(U116*V116),""),"")</f>
        <v/>
      </c>
      <c r="AE116" s="50" t="str">
        <f>IF(ISNUMBER(AD116*AC116),AD116*AC116,"")</f>
        <v/>
      </c>
      <c r="AF116" s="51">
        <f ca="1">IF(ISNUMBER(L117),L117,K117)</f>
        <v>0.71940999999999999</v>
      </c>
      <c r="AG116" s="50" t="str">
        <f ca="1">IF(ISNUMBER(AC116*AD116*K117),AC116*AD116*K117,"")</f>
        <v/>
      </c>
      <c r="AH116" s="48">
        <f>IF(T116="Jakelukuorma-auto",0,IF(T116="Maansiirtoauto",4,IF(T116="Puoliperävaunu",6,8)))</f>
        <v>4</v>
      </c>
      <c r="AI116" s="48">
        <f>IF(AND(T116="Jakelukuorma-auto",U116=6),0,IF(AND(T116="Jakelukuorma-auto",U116=15),2,0))</f>
        <v>0</v>
      </c>
      <c r="AJ116" s="48">
        <f>IF(W116="maantieajo",0,1)</f>
        <v>0</v>
      </c>
      <c r="AK116" s="108"/>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31" x14ac:dyDescent="0.3">
      <c r="B117" s="170" t="s">
        <v>512</v>
      </c>
      <c r="C117" s="392" t="s">
        <v>84</v>
      </c>
      <c r="D117" s="393"/>
      <c r="E117" s="393"/>
      <c r="F117" s="393"/>
      <c r="G117" s="394"/>
      <c r="H117" s="84"/>
      <c r="I117" s="84"/>
      <c r="J117" s="33" t="s">
        <v>442</v>
      </c>
      <c r="K117" s="96">
        <f ca="1">IF(ISNUMBER(L117),L117,IF($C$148="Ei","",IF(AND($C$148="Kyllä",OR(C117=Pudotusvalikot!$D$14,C117=Pudotusvalikot!$D$15)),Kalusto!$G$97,OFFSET(Kalusto!$G$85,AH116+AJ116+AI116,0,1,1)))*IF(OR(C118=Pudotusvalikot!$V$3,C118=Pudotusvalikot!$V$4),Muut!$E$38,IF(C118=Pudotusvalikot!$V$5,Muut!$E$39,IF(C118=Pudotusvalikot!$V$6,Muut!$E$40,Muut!$E$41))))</f>
        <v>0.71940999999999999</v>
      </c>
      <c r="L117" s="40"/>
      <c r="M117" s="41" t="s">
        <v>204</v>
      </c>
      <c r="N117" s="41"/>
      <c r="O117" s="265"/>
      <c r="P117" s="147"/>
      <c r="Q117" s="105"/>
      <c r="R117" s="99"/>
      <c r="S117" s="36"/>
      <c r="T117" s="36"/>
      <c r="U117" s="36"/>
      <c r="V117" s="36"/>
      <c r="W117" s="36"/>
      <c r="X117" s="36"/>
      <c r="Y117" s="36"/>
      <c r="Z117" s="36"/>
      <c r="AA117" s="36"/>
      <c r="AB117" s="36"/>
      <c r="AC117" s="36"/>
      <c r="AD117" s="36"/>
      <c r="AE117" s="36"/>
      <c r="AF117" s="36"/>
      <c r="AG117" s="36"/>
      <c r="AH117" s="36"/>
      <c r="AI117" s="36"/>
      <c r="AJ117" s="36"/>
      <c r="AK117" s="36"/>
      <c r="AL117" s="36"/>
      <c r="AM117" s="36"/>
      <c r="AN117" s="37"/>
      <c r="AO117" s="37"/>
      <c r="AP117" s="37"/>
      <c r="AQ117" s="37"/>
      <c r="AR117" s="37"/>
      <c r="AS117" s="37"/>
      <c r="AT117" s="37"/>
      <c r="AU117" s="37"/>
      <c r="AV117" s="37"/>
      <c r="AW117" s="37"/>
      <c r="AX117" s="37"/>
      <c r="AY117" s="37"/>
      <c r="AZ117" s="37"/>
      <c r="BA117" s="37"/>
      <c r="BB117" s="37"/>
      <c r="BC117" s="37"/>
      <c r="BD117" s="37"/>
      <c r="BE117" s="37"/>
      <c r="BF117" s="108"/>
      <c r="BG117" s="108"/>
    </row>
    <row r="118" spans="2:59" s="31" customFormat="1" ht="15.5" x14ac:dyDescent="0.3">
      <c r="B118" s="186" t="s">
        <v>506</v>
      </c>
      <c r="C118" s="160" t="s">
        <v>242</v>
      </c>
      <c r="D118" s="34"/>
      <c r="E118" s="34"/>
      <c r="F118" s="34"/>
      <c r="G118" s="34"/>
      <c r="H118" s="59"/>
      <c r="J118" s="173"/>
      <c r="K118" s="173"/>
      <c r="L118" s="173"/>
      <c r="M118" s="41"/>
      <c r="N118" s="41"/>
      <c r="O118" s="265"/>
      <c r="Q118" s="47"/>
      <c r="R118" s="102"/>
      <c r="S118" s="102"/>
      <c r="T118" s="36"/>
      <c r="U118" s="36"/>
      <c r="V118" s="181"/>
      <c r="W118" s="181"/>
      <c r="X118" s="61"/>
      <c r="Y118" s="36"/>
      <c r="Z118" s="61"/>
      <c r="AA118" s="182"/>
      <c r="AB118" s="61"/>
      <c r="AC118" s="61"/>
      <c r="AD118" s="61"/>
      <c r="AE118" s="61"/>
      <c r="AF118" s="182"/>
      <c r="AG118" s="61"/>
      <c r="AH118" s="36"/>
      <c r="AI118" s="36"/>
      <c r="AJ118" s="36"/>
      <c r="AK118" s="108"/>
      <c r="AL118" s="36"/>
      <c r="AM118" s="36"/>
      <c r="AN118" s="37"/>
      <c r="AO118" s="37"/>
      <c r="AP118" s="37"/>
      <c r="AQ118" s="37"/>
      <c r="AR118" s="37"/>
      <c r="AS118" s="37"/>
      <c r="AT118" s="37"/>
      <c r="AU118" s="37"/>
      <c r="AV118" s="37"/>
      <c r="AW118" s="37"/>
      <c r="AX118" s="37"/>
      <c r="AY118" s="37"/>
      <c r="AZ118" s="37"/>
      <c r="BA118" s="37"/>
      <c r="BB118" s="37"/>
      <c r="BC118" s="37"/>
      <c r="BD118" s="37"/>
      <c r="BE118" s="37"/>
    </row>
    <row r="119" spans="2:59" s="31" customFormat="1" ht="15.5" x14ac:dyDescent="0.3">
      <c r="B119" s="45" t="s">
        <v>525</v>
      </c>
      <c r="C119" s="162"/>
      <c r="D119" s="84" t="s">
        <v>5</v>
      </c>
      <c r="G119" s="34"/>
      <c r="H119" s="84"/>
      <c r="I119" s="84"/>
      <c r="J119" s="33"/>
      <c r="K119" s="34"/>
      <c r="L119" s="34"/>
      <c r="M119" s="84"/>
      <c r="N119" s="84"/>
      <c r="O119" s="100"/>
      <c r="P119" s="150"/>
      <c r="Q119" s="105"/>
      <c r="R119" s="99"/>
      <c r="S119" s="36"/>
      <c r="T119" s="36"/>
      <c r="U119" s="36"/>
      <c r="V119" s="36"/>
      <c r="W119" s="36"/>
      <c r="X119" s="36"/>
      <c r="Y119" s="36"/>
      <c r="Z119" s="36"/>
      <c r="AA119" s="36"/>
      <c r="AB119" s="36"/>
      <c r="AC119" s="36"/>
      <c r="AD119" s="36"/>
      <c r="AE119" s="36"/>
      <c r="AF119" s="36"/>
      <c r="AG119" s="36"/>
      <c r="AH119" s="36"/>
      <c r="AI119" s="36"/>
      <c r="AJ119" s="36"/>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15.5" x14ac:dyDescent="0.3">
      <c r="C120" s="34"/>
      <c r="D120" s="84"/>
      <c r="G120" s="34"/>
      <c r="H120" s="84"/>
      <c r="I120" s="84"/>
      <c r="J120" s="33"/>
      <c r="K120" s="34"/>
      <c r="L120" s="34"/>
      <c r="M120" s="84"/>
      <c r="N120" s="84"/>
      <c r="O120" s="100"/>
      <c r="P120" s="69"/>
      <c r="Q120" s="37"/>
      <c r="R120" s="99"/>
      <c r="S120" s="36"/>
      <c r="T120" s="36"/>
      <c r="U120" s="36"/>
      <c r="V120" s="36"/>
      <c r="W120" s="36"/>
      <c r="X120" s="36"/>
      <c r="Y120" s="36"/>
      <c r="Z120" s="36"/>
      <c r="AA120" s="36"/>
      <c r="AB120" s="36"/>
      <c r="AC120" s="36"/>
      <c r="AD120" s="36"/>
      <c r="AE120" s="36"/>
      <c r="AF120" s="36"/>
      <c r="AG120" s="36"/>
      <c r="AH120" s="36"/>
      <c r="AI120" s="36"/>
      <c r="AJ120" s="36"/>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46.5" x14ac:dyDescent="0.3">
      <c r="B121" s="78" t="s">
        <v>668</v>
      </c>
      <c r="C121" s="392" t="s">
        <v>6</v>
      </c>
      <c r="D121" s="394"/>
      <c r="G121" s="34"/>
      <c r="H121" s="84"/>
      <c r="J121" s="33"/>
      <c r="K121" s="34"/>
      <c r="L121" s="34"/>
      <c r="M121" s="84"/>
      <c r="N121" s="84"/>
      <c r="O121" s="100"/>
      <c r="P121" s="69"/>
      <c r="Q121" s="37"/>
      <c r="R121" s="99"/>
      <c r="S121" s="36"/>
      <c r="T121" s="36"/>
      <c r="U121" s="36"/>
      <c r="V121" s="36"/>
      <c r="W121" s="36"/>
      <c r="X121" s="36"/>
      <c r="Y121" s="36"/>
      <c r="Z121" s="36"/>
      <c r="AA121" s="36"/>
      <c r="AB121" s="36"/>
      <c r="AC121" s="36"/>
      <c r="AD121" s="36"/>
      <c r="AE121" s="36"/>
      <c r="AF121" s="36"/>
      <c r="AG121" s="36"/>
      <c r="AH121" s="36"/>
      <c r="AI121" s="36"/>
      <c r="AJ121" s="36"/>
      <c r="AK121" s="36"/>
      <c r="AL121" s="36"/>
      <c r="AM121" s="36"/>
      <c r="AN121" s="37"/>
      <c r="AO121" s="37"/>
      <c r="AP121" s="37"/>
      <c r="AQ121" s="37"/>
      <c r="AR121" s="37"/>
      <c r="AS121" s="37"/>
      <c r="AT121" s="37"/>
      <c r="AU121" s="37"/>
      <c r="AV121" s="37"/>
      <c r="AW121" s="37"/>
      <c r="AX121" s="37"/>
      <c r="AY121" s="37"/>
      <c r="AZ121" s="37"/>
      <c r="BA121" s="37"/>
      <c r="BB121" s="37"/>
      <c r="BC121" s="37"/>
      <c r="BD121" s="37"/>
      <c r="BE121" s="37"/>
      <c r="BF121" s="108"/>
      <c r="BG121" s="108"/>
    </row>
    <row r="122" spans="2:59" s="31" customFormat="1" ht="15.5" x14ac:dyDescent="0.3">
      <c r="C122" s="34"/>
      <c r="D122" s="84"/>
      <c r="G122" s="34"/>
      <c r="H122" s="84"/>
      <c r="J122" s="33"/>
      <c r="K122" s="34"/>
      <c r="L122" s="34"/>
      <c r="M122" s="84"/>
      <c r="N122" s="84"/>
      <c r="O122" s="84"/>
      <c r="Q122" s="35"/>
      <c r="R122" s="99"/>
      <c r="S122" s="36"/>
      <c r="T122" s="36"/>
      <c r="U122" s="36"/>
      <c r="V122" s="36"/>
      <c r="W122" s="36"/>
      <c r="X122" s="36"/>
      <c r="Y122" s="36"/>
      <c r="Z122" s="36"/>
      <c r="AA122" s="36"/>
      <c r="AB122" s="36"/>
      <c r="AC122" s="36"/>
      <c r="AD122" s="36"/>
      <c r="AE122" s="36"/>
      <c r="AF122" s="36"/>
      <c r="AG122" s="36"/>
      <c r="AH122" s="36"/>
      <c r="AI122" s="36"/>
      <c r="AJ122" s="36"/>
      <c r="AK122" s="36"/>
      <c r="AL122" s="36"/>
      <c r="AM122" s="36"/>
      <c r="AN122" s="37"/>
      <c r="AO122" s="37"/>
      <c r="AP122" s="37"/>
      <c r="AQ122" s="37"/>
      <c r="AR122" s="37"/>
      <c r="AS122" s="37"/>
      <c r="AT122" s="37"/>
      <c r="AU122" s="37"/>
      <c r="AV122" s="37"/>
      <c r="AW122" s="37"/>
      <c r="AX122" s="37"/>
      <c r="AY122" s="37"/>
      <c r="AZ122" s="37"/>
      <c r="BA122" s="37"/>
      <c r="BB122" s="37"/>
      <c r="BC122" s="37"/>
      <c r="BD122" s="37"/>
      <c r="BE122" s="37"/>
    </row>
    <row r="123" spans="2:59" s="298" customFormat="1" ht="18" x14ac:dyDescent="0.3">
      <c r="B123" s="295" t="s">
        <v>645</v>
      </c>
      <c r="C123" s="296"/>
      <c r="D123" s="297"/>
      <c r="G123" s="296"/>
      <c r="H123" s="297"/>
      <c r="K123" s="296"/>
      <c r="L123" s="296"/>
      <c r="M123" s="297"/>
      <c r="N123" s="297"/>
      <c r="O123" s="300"/>
      <c r="P123" s="320"/>
      <c r="Q123" s="304"/>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4"/>
      <c r="AO123" s="304"/>
      <c r="AP123" s="304"/>
      <c r="AQ123" s="304"/>
      <c r="AR123" s="304"/>
      <c r="AS123" s="304"/>
      <c r="AT123" s="304"/>
      <c r="AU123" s="304"/>
      <c r="AV123" s="304"/>
      <c r="AW123" s="304"/>
      <c r="AX123" s="304"/>
      <c r="AY123" s="304"/>
      <c r="AZ123" s="304"/>
      <c r="BA123" s="304"/>
      <c r="BB123" s="304"/>
      <c r="BC123" s="304"/>
      <c r="BD123" s="304"/>
      <c r="BE123" s="304"/>
    </row>
    <row r="124" spans="2:59" s="31" customFormat="1" ht="77.5" x14ac:dyDescent="0.3">
      <c r="B124" s="9"/>
      <c r="C124" s="34" t="s">
        <v>50</v>
      </c>
      <c r="D124" s="84"/>
      <c r="G124" s="38" t="s">
        <v>529</v>
      </c>
      <c r="H124" s="84"/>
      <c r="J124" s="33"/>
      <c r="K124" s="38" t="s">
        <v>329</v>
      </c>
      <c r="L124" s="38" t="s">
        <v>201</v>
      </c>
      <c r="O124" s="255" t="s">
        <v>644</v>
      </c>
      <c r="P124" s="148"/>
      <c r="Q124" s="108"/>
      <c r="R124" s="36" t="s">
        <v>350</v>
      </c>
      <c r="S124" s="36"/>
      <c r="T124" s="36" t="s">
        <v>469</v>
      </c>
      <c r="U124" s="36" t="s">
        <v>351</v>
      </c>
      <c r="V124" s="36" t="s">
        <v>352</v>
      </c>
      <c r="W124" s="108"/>
      <c r="X124" s="108"/>
      <c r="Y124" s="36"/>
      <c r="Z124" s="36"/>
      <c r="AA124" s="36"/>
      <c r="AB124" s="36"/>
      <c r="AC124" s="36"/>
      <c r="AD124" s="36"/>
      <c r="AE124" s="36"/>
      <c r="AF124" s="36"/>
      <c r="AG124" s="36"/>
      <c r="AH124" s="36"/>
      <c r="AI124" s="36"/>
      <c r="AJ124" s="36"/>
      <c r="AK124" s="36"/>
      <c r="AL124" s="36"/>
      <c r="AM124" s="36"/>
      <c r="AN124" s="36"/>
      <c r="AO124" s="36"/>
      <c r="AP124" s="37"/>
      <c r="AQ124" s="37"/>
      <c r="AR124" s="37"/>
      <c r="AS124" s="37"/>
      <c r="AT124" s="37"/>
      <c r="AU124" s="37"/>
      <c r="AV124" s="37"/>
      <c r="AW124" s="37"/>
      <c r="AX124" s="37"/>
      <c r="AY124" s="37"/>
      <c r="AZ124" s="37"/>
      <c r="BA124" s="37"/>
      <c r="BB124" s="37"/>
      <c r="BC124" s="37"/>
      <c r="BD124" s="37"/>
      <c r="BE124" s="37"/>
      <c r="BF124" s="37"/>
      <c r="BG124" s="37"/>
    </row>
    <row r="125" spans="2:59" s="31" customFormat="1" ht="31" x14ac:dyDescent="0.3">
      <c r="B125" s="78" t="s">
        <v>477</v>
      </c>
      <c r="C125" s="160">
        <f>SUM(C85:C91)</f>
        <v>0</v>
      </c>
      <c r="D125" s="84" t="s">
        <v>214</v>
      </c>
      <c r="G125" s="175">
        <f>IF(ISNUMBER(SUM(V85:V89)),SUM(V85:V89),"")</f>
        <v>0</v>
      </c>
      <c r="H125" s="84"/>
      <c r="J125" s="33" t="s">
        <v>470</v>
      </c>
      <c r="K125" s="138">
        <f>IF(ISNUMBER(L125),L125,IF(OR(C126=Pudotusvalikot!$D$67,C126=Pudotusvalikot!$D$68),"--",VLOOKUP(C126,Kalusto!$C$5:$E$42,3,FALSE)*IF(OR(C127=Pudotusvalikot!$V$3,C127=Pudotusvalikot!$V$4),Muut!$E$38,IF(C127=Pudotusvalikot!$V$5,Muut!$E$39,IF(C127=Pudotusvalikot!$V$6,Muut!$E$40,Muut!$E$41)))))</f>
        <v>34.130000000000003</v>
      </c>
      <c r="L125" s="63"/>
      <c r="M125" s="41" t="s">
        <v>205</v>
      </c>
      <c r="N125" s="41"/>
      <c r="O125" s="256"/>
      <c r="P125" s="151"/>
      <c r="Q125" s="108"/>
      <c r="R125" s="50" t="str">
        <f>IF(ISNUMBER(K125*V125),K125*V125,"")</f>
        <v/>
      </c>
      <c r="S125" s="102" t="s">
        <v>172</v>
      </c>
      <c r="T125" s="50">
        <f>IF(ISNUMBER(C125),C125,IF(ISNUMBER(G125),G125,""))</f>
        <v>0</v>
      </c>
      <c r="U125" s="64" t="str">
        <f>IF(D128="h","",IF(ISNUMBER(C128),C128,""))</f>
        <v/>
      </c>
      <c r="V125" s="50" t="str">
        <f>IF(ISNUMBER(T125),IF(D128="h",D128,IF(ISNUMBER(T125*U125),IF(D128="m3/h",T125/U125,T125*U125),"")),"")</f>
        <v/>
      </c>
      <c r="W125" s="108"/>
      <c r="X125" s="108"/>
      <c r="Y125" s="108"/>
      <c r="Z125" s="61"/>
      <c r="AA125" s="36"/>
      <c r="AB125" s="36"/>
      <c r="AC125" s="62"/>
      <c r="AD125" s="36"/>
      <c r="AE125" s="36"/>
      <c r="AF125" s="36"/>
      <c r="AG125" s="36"/>
      <c r="AH125" s="36"/>
      <c r="AI125" s="36"/>
      <c r="AJ125" s="36"/>
      <c r="AK125" s="36"/>
      <c r="AL125" s="36"/>
      <c r="AM125" s="36"/>
      <c r="AN125" s="36"/>
      <c r="AO125" s="36"/>
      <c r="AP125" s="37"/>
      <c r="AQ125" s="37"/>
      <c r="AR125" s="37"/>
      <c r="AS125" s="37"/>
      <c r="AT125" s="37"/>
      <c r="AU125" s="37"/>
      <c r="AV125" s="37"/>
      <c r="AW125" s="37"/>
      <c r="AX125" s="37"/>
      <c r="AY125" s="37"/>
      <c r="AZ125" s="37"/>
      <c r="BA125" s="37"/>
      <c r="BB125" s="37"/>
      <c r="BC125" s="37"/>
      <c r="BD125" s="37"/>
      <c r="BE125" s="37"/>
      <c r="BF125" s="37"/>
      <c r="BG125" s="37"/>
    </row>
    <row r="126" spans="2:59" s="31" customFormat="1" ht="15.5" x14ac:dyDescent="0.3">
      <c r="B126" s="54" t="s">
        <v>510</v>
      </c>
      <c r="C126" s="392" t="s">
        <v>128</v>
      </c>
      <c r="D126" s="393"/>
      <c r="E126" s="393"/>
      <c r="F126" s="393"/>
      <c r="G126" s="394"/>
      <c r="H126" s="84"/>
      <c r="J126" s="33"/>
      <c r="O126" s="264"/>
      <c r="P126" s="69"/>
      <c r="Q126" s="108"/>
      <c r="R126" s="98"/>
      <c r="S126" s="108"/>
      <c r="T126" s="37"/>
      <c r="U126" s="36"/>
      <c r="V126" s="36"/>
      <c r="W126" s="36"/>
      <c r="X126" s="36"/>
      <c r="Y126" s="36"/>
      <c r="Z126" s="36"/>
      <c r="AA126" s="36"/>
      <c r="AB126" s="36"/>
      <c r="AC126" s="36"/>
      <c r="AD126" s="36"/>
      <c r="AE126" s="36"/>
      <c r="AF126" s="36"/>
      <c r="AG126" s="36"/>
      <c r="AH126" s="36"/>
      <c r="AI126" s="36"/>
      <c r="AJ126" s="36"/>
      <c r="AK126" s="36"/>
      <c r="AL126" s="36"/>
      <c r="AM126" s="36"/>
      <c r="AN126" s="36"/>
      <c r="AO126" s="36"/>
      <c r="AP126" s="37"/>
      <c r="AQ126" s="37"/>
      <c r="AR126" s="37"/>
      <c r="AS126" s="37"/>
      <c r="AT126" s="37"/>
      <c r="AU126" s="37"/>
      <c r="AV126" s="37"/>
      <c r="AW126" s="37"/>
      <c r="AX126" s="37"/>
      <c r="AY126" s="37"/>
      <c r="AZ126" s="37"/>
      <c r="BA126" s="37"/>
      <c r="BB126" s="37"/>
      <c r="BC126" s="37"/>
      <c r="BD126" s="37"/>
      <c r="BE126" s="37"/>
      <c r="BF126" s="37"/>
      <c r="BG126" s="37"/>
    </row>
    <row r="127" spans="2:59" s="31" customFormat="1" ht="15.5" x14ac:dyDescent="0.3">
      <c r="B127" s="170" t="s">
        <v>509</v>
      </c>
      <c r="C127" s="160" t="s">
        <v>242</v>
      </c>
      <c r="D127" s="34"/>
      <c r="E127" s="34"/>
      <c r="F127" s="34"/>
      <c r="G127" s="34"/>
      <c r="H127" s="59"/>
      <c r="J127" s="173"/>
      <c r="K127" s="173"/>
      <c r="L127" s="173"/>
      <c r="M127" s="41"/>
      <c r="N127" s="41"/>
      <c r="O127" s="256"/>
      <c r="Q127" s="47"/>
      <c r="R127" s="61"/>
      <c r="S127" s="102"/>
      <c r="T127" s="36"/>
      <c r="U127" s="36"/>
      <c r="V127" s="181"/>
      <c r="W127" s="181"/>
      <c r="X127" s="61"/>
      <c r="Y127" s="36"/>
      <c r="Z127" s="61"/>
      <c r="AA127" s="182"/>
      <c r="AB127" s="61"/>
      <c r="AC127" s="61"/>
      <c r="AD127" s="61"/>
      <c r="AE127" s="61"/>
      <c r="AF127" s="182"/>
      <c r="AG127" s="61"/>
      <c r="AH127" s="36"/>
      <c r="AI127" s="36"/>
      <c r="AJ127" s="36"/>
      <c r="AK127" s="108"/>
      <c r="AL127" s="36"/>
      <c r="AM127" s="36"/>
      <c r="AN127" s="37"/>
      <c r="AO127" s="37"/>
      <c r="AP127" s="37"/>
      <c r="AQ127" s="37"/>
      <c r="AR127" s="37"/>
      <c r="AS127" s="37"/>
      <c r="AT127" s="37"/>
      <c r="AU127" s="37"/>
      <c r="AV127" s="37"/>
      <c r="AW127" s="37"/>
      <c r="AX127" s="37"/>
      <c r="AY127" s="37"/>
      <c r="AZ127" s="37"/>
      <c r="BA127" s="37"/>
      <c r="BB127" s="37"/>
      <c r="BC127" s="37"/>
      <c r="BD127" s="37"/>
      <c r="BE127" s="37"/>
    </row>
    <row r="128" spans="2:59" s="31" customFormat="1" ht="31" x14ac:dyDescent="0.3">
      <c r="B128" s="78" t="s">
        <v>511</v>
      </c>
      <c r="C128" s="193"/>
      <c r="D128" s="89" t="s">
        <v>209</v>
      </c>
      <c r="G128" s="34"/>
      <c r="H128" s="84"/>
      <c r="J128" s="33"/>
      <c r="O128" s="264"/>
      <c r="P128" s="69"/>
      <c r="Q128" s="108"/>
      <c r="R128" s="98"/>
      <c r="S128" s="108"/>
      <c r="T128" s="37"/>
      <c r="U128" s="36"/>
      <c r="V128" s="36"/>
      <c r="W128" s="36"/>
      <c r="X128" s="36"/>
      <c r="Y128" s="36"/>
      <c r="Z128" s="36"/>
      <c r="AA128" s="36"/>
      <c r="AB128" s="36"/>
      <c r="AC128" s="36"/>
      <c r="AD128" s="36"/>
      <c r="AE128" s="36"/>
      <c r="AF128" s="36"/>
      <c r="AG128" s="36"/>
      <c r="AH128" s="36"/>
      <c r="AI128" s="36"/>
      <c r="AJ128" s="36"/>
      <c r="AK128" s="36"/>
      <c r="AL128" s="36"/>
      <c r="AM128" s="36"/>
      <c r="AN128" s="36"/>
      <c r="AO128" s="36"/>
      <c r="AP128" s="37"/>
      <c r="AQ128" s="37"/>
      <c r="AR128" s="37"/>
      <c r="AS128" s="37"/>
      <c r="AT128" s="37"/>
      <c r="AU128" s="37"/>
      <c r="AV128" s="37"/>
      <c r="AW128" s="37"/>
      <c r="AX128" s="37"/>
      <c r="AY128" s="37"/>
      <c r="AZ128" s="37"/>
      <c r="BA128" s="37"/>
      <c r="BB128" s="37"/>
      <c r="BC128" s="37"/>
      <c r="BD128" s="37"/>
      <c r="BE128" s="37"/>
      <c r="BF128" s="37"/>
      <c r="BG128" s="37"/>
    </row>
    <row r="129" spans="2:59" s="31" customFormat="1" ht="15.5" x14ac:dyDescent="0.3">
      <c r="C129" s="34"/>
      <c r="D129" s="84"/>
      <c r="G129" s="34"/>
      <c r="H129" s="84"/>
      <c r="J129" s="33"/>
      <c r="O129" s="171"/>
      <c r="P129" s="69"/>
      <c r="Q129" s="108"/>
      <c r="R129" s="98"/>
      <c r="S129" s="108"/>
      <c r="T129" s="37"/>
      <c r="U129" s="36"/>
      <c r="V129" s="36"/>
      <c r="W129" s="36"/>
      <c r="X129" s="36"/>
      <c r="Y129" s="36"/>
      <c r="Z129" s="36"/>
      <c r="AA129" s="36"/>
      <c r="AB129" s="36"/>
      <c r="AC129" s="36"/>
      <c r="AD129" s="36"/>
      <c r="AE129" s="36"/>
      <c r="AF129" s="36"/>
      <c r="AG129" s="36"/>
      <c r="AH129" s="36"/>
      <c r="AI129" s="36"/>
      <c r="AJ129" s="36"/>
      <c r="AK129" s="36"/>
      <c r="AL129" s="36"/>
      <c r="AM129" s="36"/>
      <c r="AN129" s="36"/>
      <c r="AO129" s="36"/>
      <c r="AP129" s="37"/>
      <c r="AQ129" s="37"/>
      <c r="AR129" s="37"/>
      <c r="AS129" s="37"/>
      <c r="AT129" s="37"/>
      <c r="AU129" s="37"/>
      <c r="AV129" s="37"/>
      <c r="AW129" s="37"/>
      <c r="AX129" s="37"/>
      <c r="AY129" s="37"/>
      <c r="AZ129" s="37"/>
      <c r="BA129" s="37"/>
      <c r="BB129" s="37"/>
      <c r="BC129" s="37"/>
      <c r="BD129" s="37"/>
      <c r="BE129" s="37"/>
      <c r="BF129" s="37"/>
      <c r="BG129" s="37"/>
    </row>
    <row r="130" spans="2:59" s="298" customFormat="1" ht="18" x14ac:dyDescent="0.3">
      <c r="B130" s="295" t="s">
        <v>675</v>
      </c>
      <c r="C130" s="296"/>
      <c r="D130" s="297"/>
      <c r="G130" s="296"/>
      <c r="H130" s="297"/>
      <c r="K130" s="296"/>
      <c r="L130" s="296"/>
      <c r="M130" s="297"/>
      <c r="N130" s="297"/>
      <c r="O130" s="300"/>
      <c r="P130" s="320"/>
      <c r="Q130" s="304"/>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4"/>
      <c r="AO130" s="304"/>
      <c r="AP130" s="304"/>
      <c r="AQ130" s="304"/>
      <c r="AR130" s="304"/>
      <c r="AS130" s="304"/>
      <c r="AT130" s="304"/>
      <c r="AU130" s="304"/>
      <c r="AV130" s="304"/>
      <c r="AW130" s="304"/>
      <c r="AX130" s="304"/>
      <c r="AY130" s="304"/>
      <c r="AZ130" s="304"/>
      <c r="BA130" s="304"/>
      <c r="BB130" s="304"/>
      <c r="BC130" s="304"/>
      <c r="BD130" s="304"/>
      <c r="BE130" s="304"/>
    </row>
    <row r="131" spans="2:59" s="31" customFormat="1" ht="15.5" x14ac:dyDescent="0.3">
      <c r="C131" s="34"/>
      <c r="D131" s="84"/>
      <c r="G131" s="34"/>
      <c r="H131" s="84"/>
      <c r="J131" s="33"/>
      <c r="K131" s="34"/>
      <c r="L131" s="34"/>
      <c r="M131" s="84"/>
      <c r="N131" s="84"/>
      <c r="O131" s="255" t="s">
        <v>644</v>
      </c>
      <c r="Q131" s="35"/>
      <c r="R131" s="99"/>
      <c r="S131" s="36"/>
      <c r="T131" s="36"/>
      <c r="U131" s="36"/>
      <c r="V131" s="36"/>
      <c r="W131" s="36"/>
      <c r="X131" s="36"/>
      <c r="Y131" s="36"/>
      <c r="Z131" s="36"/>
      <c r="AA131" s="36"/>
      <c r="AB131" s="36"/>
      <c r="AC131" s="36"/>
      <c r="AD131" s="36"/>
      <c r="AE131" s="36"/>
      <c r="AF131" s="36"/>
      <c r="AG131" s="36"/>
      <c r="AH131" s="36"/>
      <c r="AI131" s="36"/>
      <c r="AJ131" s="36"/>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9" s="31" customFormat="1" ht="15.5" x14ac:dyDescent="0.3">
      <c r="B132" s="164" t="s">
        <v>335</v>
      </c>
      <c r="C132" s="34"/>
      <c r="D132" s="84"/>
      <c r="G132" s="34"/>
      <c r="H132" s="84"/>
      <c r="K132" s="38"/>
      <c r="L132" s="38"/>
      <c r="M132" s="84"/>
      <c r="N132" s="84"/>
      <c r="O132" s="256"/>
      <c r="Q132" s="35"/>
      <c r="R132" s="99"/>
      <c r="S132" s="36"/>
      <c r="T132" s="36"/>
      <c r="U132" s="36"/>
      <c r="V132" s="36"/>
      <c r="W132" s="36"/>
      <c r="X132" s="36"/>
      <c r="Y132" s="36"/>
      <c r="Z132" s="36"/>
      <c r="AA132" s="36"/>
      <c r="AB132" s="36"/>
      <c r="AC132" s="36"/>
      <c r="AD132" s="36"/>
      <c r="AE132" s="36"/>
      <c r="AF132" s="36"/>
      <c r="AG132" s="36"/>
      <c r="AH132" s="36"/>
      <c r="AI132" s="36"/>
      <c r="AJ132" s="36"/>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9" s="31" customFormat="1" ht="46.5" x14ac:dyDescent="0.3">
      <c r="B133" s="78" t="s">
        <v>726</v>
      </c>
      <c r="C133" s="395" t="s">
        <v>111</v>
      </c>
      <c r="D133" s="395"/>
      <c r="G133" s="34"/>
      <c r="H133" s="84"/>
      <c r="K133" s="38" t="s">
        <v>329</v>
      </c>
      <c r="L133" s="38" t="s">
        <v>201</v>
      </c>
      <c r="M133" s="84" t="s">
        <v>319</v>
      </c>
      <c r="N133" s="84"/>
      <c r="O133" s="100"/>
      <c r="Q133" s="35"/>
      <c r="R133" s="36" t="s">
        <v>350</v>
      </c>
      <c r="S133" s="36"/>
      <c r="T133" s="108"/>
      <c r="U133" s="36"/>
      <c r="V133" s="36"/>
      <c r="W133" s="36"/>
      <c r="X133" s="36"/>
      <c r="Y133" s="36"/>
      <c r="Z133" s="36"/>
      <c r="AA133" s="36"/>
      <c r="AB133" s="36"/>
      <c r="AC133" s="36"/>
      <c r="AD133" s="36"/>
      <c r="AE133" s="36"/>
      <c r="AF133" s="36"/>
      <c r="AG133" s="36"/>
      <c r="AH133" s="36"/>
      <c r="AI133" s="36"/>
      <c r="AJ133" s="36"/>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9" s="31" customFormat="1" ht="15.5" x14ac:dyDescent="0.3">
      <c r="B134" s="54" t="s">
        <v>599</v>
      </c>
      <c r="C134" s="162"/>
      <c r="D134" s="84" t="str">
        <f>IF(C133=Pudotusvalikot!$H$14,"Yksikkö",IF(C133=Pudotusvalikot!$H$15,Pudotusvalikot!$I$15,IF(C133=Pudotusvalikot!$H$16,Pudotusvalikot!$I$16,IF(C133=Pudotusvalikot!$H$17,Pudotusvalikot!$I$17,IF(C133=Pudotusvalikot!$H$18,Pudotusvalikot!$I$18,IF(C133=Pudotusvalikot!$H$19,Pudotusvalikot!$I$19,IF(C133=Pudotusvalikot!$H$20,Pudotusvalikot!$I$20,IF(C133=Pudotusvalikot!$H$21,Pudotusvalikot!$I$21,IF(C133=Pudotusvalikot!$H$22,Pudotusvalikot!$I$22,IF(C133=Pudotusvalikot!$H$23,Pudotusvalikot!$I$23,IF(C133=Pudotusvalikot!$H$24,Pudotusvalikot!$I$24,IF(C133=Pudotusvalikot!$H$25,Pudotusvalikot!$I$25,IF(C133=Pudotusvalikot!$H$26,Pudotusvalikot!$I$26,IF(C133=Pudotusvalikot!$H$27,Pudotusvalikot!$I$27,IF(C133=Pudotusvalikot!$H$28,Pudotusvalikot!$I$28,IF(C133=Pudotusvalikot!$H$29,Pudotusvalikot!$I$29,"Yksikkö"))))))))))))))))</f>
        <v>Yksikkö</v>
      </c>
      <c r="E134" s="34" t="s">
        <v>203</v>
      </c>
      <c r="F134" s="34"/>
      <c r="G134" s="34"/>
      <c r="H134" s="84"/>
      <c r="J134" s="33" t="s">
        <v>364</v>
      </c>
      <c r="K134" s="96" t="str">
        <f>IF(ISNUMBER(L134),L134,IF(C133=Pudotusvalikot!$H$14,"--",IF(C133=Pudotusvalikot!$H$15,Materiaalit!$G$39,IF(C133=Pudotusvalikot!$H$16,Materiaalit!$G$40,IF(C133=Pudotusvalikot!$H$17,Materiaalit!$G$41,IF(C133=Pudotusvalikot!$H$18,Materiaalit!$G$42,IF(C133=Pudotusvalikot!$H$19,Materiaalit!$G$43,IF(C133=Pudotusvalikot!$H$20,Materiaalit!$G$44,IF(C133=Pudotusvalikot!$H$21,Materiaalit!$G$45,IF(C133=Pudotusvalikot!$H$22,Materiaalit!$G$46,IF(C133=Pudotusvalikot!$H$23,Materiaalit!$G$47,IF(C133=Pudotusvalikot!$H$24,Materiaalit!$G$48,IF(C133=Pudotusvalikot!$H$25,Materiaalit!$G$49,IF(C133=Pudotusvalikot!$H$26,Materiaalit!$G$50,IF(C133=Pudotusvalikot!$H$27,Materiaalit!$G$51,IF(C133=Pudotusvalikot!$H$28,Materiaalit!$G$52,"Anna kerroin"))))))))))))))))</f>
        <v>--</v>
      </c>
      <c r="L134" s="40"/>
      <c r="M134" s="96" t="str">
        <f>IF(D134="Yksikkö","--","kgCO2e/" &amp;D134)</f>
        <v>--</v>
      </c>
      <c r="N134" s="42"/>
      <c r="O134" s="267"/>
      <c r="Q134" s="35"/>
      <c r="R134" s="50" t="str">
        <f>IF(NOT(AND(ISNUMBER(K134),ISNUMBER(C134))),"",C134*K134*IF(C133=Pudotusvalikot!$H$14,1,IF(C133=Pudotusvalikot!$H$15,Materiaalit!$K$39,IF(C133=Pudotusvalikot!$H$16,Materiaalit!$K$40,IF(C133=Pudotusvalikot!$H$17,Materiaalit!$K$41,IF(C133=Pudotusvalikot!$H$18,Materiaalit!$K$42,IF(C133=Pudotusvalikot!$H$19,Materiaalit!$K$43,IF(C133=Pudotusvalikot!$H$20,Materiaalit!$K$44,IF(C133=Pudotusvalikot!$H$21,Materiaalit!$K$45,IF(C133=Pudotusvalikot!$H$22,Materiaalit!$K$46,IF(C133=Pudotusvalikot!$H$23,Materiaalit!$K$47,IF(C133=Pudotusvalikot!$H$24,Materiaalit!$K$48,IF(C133=Pudotusvalikot!$H$25,Materiaalit!$K$49,IF(C133=Pudotusvalikot!$H$26,Materiaalit!$K$50,IF(C133=Pudotusvalikot!$H$27,Materiaalit!$K$51,Materiaalit!$K$52)))))))))))))))</f>
        <v/>
      </c>
      <c r="S134" s="102" t="s">
        <v>172</v>
      </c>
      <c r="T134" s="108"/>
      <c r="U134" s="36"/>
      <c r="V134" s="36"/>
      <c r="W134" s="36"/>
      <c r="X134" s="36"/>
      <c r="Y134" s="36"/>
      <c r="Z134" s="36"/>
      <c r="AA134" s="36"/>
      <c r="AB134" s="36"/>
      <c r="AC134" s="36"/>
      <c r="AD134" s="36"/>
      <c r="AE134" s="36"/>
      <c r="AF134" s="36"/>
      <c r="AG134" s="36"/>
      <c r="AH134" s="36"/>
      <c r="AI134" s="36"/>
      <c r="AJ134" s="36"/>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9" s="31" customFormat="1" ht="15.5" x14ac:dyDescent="0.3">
      <c r="B135" s="164" t="s">
        <v>336</v>
      </c>
      <c r="C135" s="34"/>
      <c r="D135" s="84"/>
      <c r="G135" s="34"/>
      <c r="H135" s="84"/>
      <c r="J135" s="33"/>
      <c r="K135" s="38"/>
      <c r="L135" s="38"/>
      <c r="M135" s="38"/>
      <c r="N135" s="38"/>
      <c r="O135" s="268"/>
      <c r="Q135" s="35"/>
      <c r="R135" s="61"/>
      <c r="S135" s="36"/>
      <c r="T135" s="108"/>
      <c r="U135" s="36"/>
      <c r="V135" s="36"/>
      <c r="W135" s="36"/>
      <c r="X135" s="36"/>
      <c r="Y135" s="36"/>
      <c r="Z135" s="36"/>
      <c r="AA135" s="36"/>
      <c r="AB135" s="36"/>
      <c r="AC135" s="36"/>
      <c r="AD135" s="36"/>
      <c r="AE135" s="36"/>
      <c r="AF135" s="36"/>
      <c r="AG135" s="36"/>
      <c r="AH135" s="36"/>
      <c r="AI135" s="36"/>
      <c r="AJ135" s="36"/>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9" s="31" customFormat="1" ht="46.5" x14ac:dyDescent="0.3">
      <c r="B136" s="78" t="s">
        <v>726</v>
      </c>
      <c r="C136" s="395" t="s">
        <v>111</v>
      </c>
      <c r="D136" s="395"/>
      <c r="G136" s="34"/>
      <c r="H136" s="84"/>
      <c r="J136" s="33"/>
      <c r="K136" s="38" t="s">
        <v>329</v>
      </c>
      <c r="L136" s="38" t="s">
        <v>201</v>
      </c>
      <c r="M136" s="38" t="s">
        <v>319</v>
      </c>
      <c r="N136" s="38"/>
      <c r="O136" s="268"/>
      <c r="Q136" s="35"/>
      <c r="R136" s="36" t="s">
        <v>350</v>
      </c>
      <c r="S136" s="36"/>
      <c r="T136" s="108"/>
      <c r="U136" s="36"/>
      <c r="V136" s="36"/>
      <c r="W136" s="36"/>
      <c r="X136" s="36"/>
      <c r="Y136" s="36"/>
      <c r="Z136" s="36"/>
      <c r="AA136" s="36"/>
      <c r="AB136" s="36"/>
      <c r="AC136" s="36"/>
      <c r="AD136" s="36"/>
      <c r="AE136" s="36"/>
      <c r="AF136" s="36"/>
      <c r="AG136" s="36"/>
      <c r="AH136" s="36"/>
      <c r="AI136" s="36"/>
      <c r="AJ136" s="36"/>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9" s="31" customFormat="1" ht="15.5" x14ac:dyDescent="0.3">
      <c r="B137" s="54" t="s">
        <v>599</v>
      </c>
      <c r="C137" s="160"/>
      <c r="D137" s="84" t="str">
        <f>IF(C136=Pudotusvalikot!$H$14,"Yksikkö",IF(C136=Pudotusvalikot!$H$15,"m",IF(C136=Pudotusvalikot!$H$16,"m2",IF(C136=Pudotusvalikot!$H$17,"kg",IF(C136=Pudotusvalikot!$H$18,"kg",IF(C136=Pudotusvalikot!$H$19,"m2",IF(C136=Pudotusvalikot!$H$20,"kg",IF(C136=Pudotusvalikot!$H$21,"kg",IF(C136=Pudotusvalikot!$H$22,"kg",IF(C136=Pudotusvalikot!$H$23,"kg",IF(C136=Pudotusvalikot!$H$24,"kg",IF(C136=Pudotusvalikot!$H$25,"kg",IF(C136=Pudotusvalikot!$H$26,"kg",IF(C136=Pudotusvalikot!$H$27,"kg",IF(C136=Pudotusvalikot!$H$28,"kg","Yksikkö")))))))))))))))</f>
        <v>Yksikkö</v>
      </c>
      <c r="E137" s="34"/>
      <c r="G137" s="34"/>
      <c r="H137" s="84"/>
      <c r="J137" s="33" t="s">
        <v>364</v>
      </c>
      <c r="K137" s="96" t="str">
        <f>IF(ISNUMBER(L137),L137,IF(C136=Pudotusvalikot!$H$14,"--",IF(C136=Pudotusvalikot!$H$15,Materiaalit!$G$39,IF(C136=Pudotusvalikot!$H$16,Materiaalit!$G$40,IF(C136=Pudotusvalikot!$H$17,Materiaalit!$G$41,IF(C136=Pudotusvalikot!$H$18,Materiaalit!$G$42,IF(C136=Pudotusvalikot!$H$19,Materiaalit!$G$43,IF(C136=Pudotusvalikot!$H$20,Materiaalit!$G$44,IF(C136=Pudotusvalikot!$H$21,Materiaalit!$G$45,IF(C136=Pudotusvalikot!$H$22,Materiaalit!$G$46,IF(C136=Pudotusvalikot!$H$23,Materiaalit!$G$47,IF(C136=Pudotusvalikot!$H$24,Materiaalit!$G$48,IF(C136=Pudotusvalikot!$H$25,Materiaalit!$G$49,IF(C136=Pudotusvalikot!$H$26,Materiaalit!$G$50,IF(C136=Pudotusvalikot!$H$27,Materiaalit!$G$51,IF(C136=Pudotusvalikot!$H$28,Materiaalit!$G$52,"Anna kerroin"))))))))))))))))</f>
        <v>--</v>
      </c>
      <c r="L137" s="40"/>
      <c r="M137" s="96" t="str">
        <f>IF(D137="Yksikkö","--","kgCO2e/" &amp;D137)</f>
        <v>--</v>
      </c>
      <c r="N137" s="42"/>
      <c r="O137" s="267"/>
      <c r="Q137" s="35"/>
      <c r="R137" s="50" t="str">
        <f>IF(NOT(AND(ISNUMBER(K137),ISNUMBER(C137))),"",C137*K137*IF(C136=Pudotusvalikot!$H$14,1,IF(C136=Pudotusvalikot!$H$15,Materiaalit!$K$39,IF(C136=Pudotusvalikot!$H$16,Materiaalit!$K$40,IF(C136=Pudotusvalikot!$H$17,Materiaalit!$K$41,IF(C136=Pudotusvalikot!$H$18,Materiaalit!$K$42,IF(C136=Pudotusvalikot!$H$19,Materiaalit!$K$43,IF(C136=Pudotusvalikot!$H$20,Materiaalit!$K$44,IF(C136=Pudotusvalikot!$H$21,Materiaalit!$K$45,IF(C136=Pudotusvalikot!$H$22,Materiaalit!$K$46,IF(C136=Pudotusvalikot!$H$23,Materiaalit!$K$47,IF(C136=Pudotusvalikot!$H$24,Materiaalit!$K$48,IF(C136=Pudotusvalikot!$H$25,Materiaalit!$K$49,IF(C136=Pudotusvalikot!$H$26,Materiaalit!$K$50,IF(C136=Pudotusvalikot!$H$27,Materiaalit!$K$51,Materiaalit!$K$52)))))))))))))))</f>
        <v/>
      </c>
      <c r="S137" s="102" t="s">
        <v>172</v>
      </c>
      <c r="T137" s="108"/>
      <c r="U137" s="36"/>
      <c r="V137" s="36"/>
      <c r="W137" s="36"/>
      <c r="X137" s="36"/>
      <c r="Y137" s="36"/>
      <c r="Z137" s="36"/>
      <c r="AA137" s="36"/>
      <c r="AB137" s="36"/>
      <c r="AC137" s="36"/>
      <c r="AD137" s="36"/>
      <c r="AE137" s="36"/>
      <c r="AF137" s="36"/>
      <c r="AG137" s="36"/>
      <c r="AH137" s="36"/>
      <c r="AI137" s="36"/>
      <c r="AJ137" s="36"/>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9" s="31" customFormat="1" ht="15.5" x14ac:dyDescent="0.3">
      <c r="B138" s="164" t="s">
        <v>337</v>
      </c>
      <c r="C138" s="34"/>
      <c r="D138" s="84"/>
      <c r="G138" s="34"/>
      <c r="H138" s="84"/>
      <c r="J138" s="33"/>
      <c r="K138" s="38"/>
      <c r="L138" s="38"/>
      <c r="M138" s="38"/>
      <c r="N138" s="38"/>
      <c r="O138" s="268"/>
      <c r="Q138" s="35"/>
      <c r="R138" s="61"/>
      <c r="S138" s="36"/>
      <c r="T138" s="108"/>
      <c r="U138" s="36"/>
      <c r="V138" s="36"/>
      <c r="W138" s="36"/>
      <c r="X138" s="36"/>
      <c r="Y138" s="36"/>
      <c r="Z138" s="36"/>
      <c r="AA138" s="36"/>
      <c r="AB138" s="36"/>
      <c r="AC138" s="36"/>
      <c r="AD138" s="36"/>
      <c r="AE138" s="36"/>
      <c r="AF138" s="36"/>
      <c r="AG138" s="36"/>
      <c r="AH138" s="36"/>
      <c r="AI138" s="36"/>
      <c r="AJ138" s="36"/>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9" s="31" customFormat="1" ht="46.5" x14ac:dyDescent="0.3">
      <c r="B139" s="78" t="s">
        <v>726</v>
      </c>
      <c r="C139" s="395" t="s">
        <v>111</v>
      </c>
      <c r="D139" s="395"/>
      <c r="G139" s="34"/>
      <c r="H139" s="84"/>
      <c r="J139" s="33"/>
      <c r="K139" s="38" t="s">
        <v>329</v>
      </c>
      <c r="L139" s="38" t="s">
        <v>201</v>
      </c>
      <c r="M139" s="38" t="s">
        <v>319</v>
      </c>
      <c r="N139" s="38"/>
      <c r="O139" s="268"/>
      <c r="Q139" s="35"/>
      <c r="R139" s="36" t="s">
        <v>350</v>
      </c>
      <c r="S139" s="36"/>
      <c r="T139" s="108"/>
      <c r="U139" s="36"/>
      <c r="V139" s="36"/>
      <c r="W139" s="36"/>
      <c r="X139" s="36"/>
      <c r="Y139" s="36"/>
      <c r="Z139" s="36"/>
      <c r="AA139" s="36"/>
      <c r="AB139" s="36"/>
      <c r="AC139" s="36"/>
      <c r="AD139" s="36"/>
      <c r="AE139" s="36"/>
      <c r="AF139" s="36"/>
      <c r="AG139" s="36"/>
      <c r="AH139" s="36"/>
      <c r="AI139" s="36"/>
      <c r="AJ139" s="36"/>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9" s="31" customFormat="1" ht="15.5" x14ac:dyDescent="0.3">
      <c r="B140" s="54" t="s">
        <v>599</v>
      </c>
      <c r="C140" s="160"/>
      <c r="D140" s="84" t="str">
        <f>IF(C139=Pudotusvalikot!$H$14,"Yksikkö",IF(C139=Pudotusvalikot!$H$15,"m",IF(C139=Pudotusvalikot!$H$16,"m2",IF(C139=Pudotusvalikot!$H$17,"kg",IF(C139=Pudotusvalikot!$H$18,"kg",IF(C139=Pudotusvalikot!$H$19,"m2",IF(C139=Pudotusvalikot!$H$20,"kg",IF(C139=Pudotusvalikot!$H$21,"kg",IF(C139=Pudotusvalikot!$H$22,"kg",IF(C139=Pudotusvalikot!$H$23,"kg",IF(C139=Pudotusvalikot!$H$24,"kg",IF(C139=Pudotusvalikot!$H$25,"kg",IF(C139=Pudotusvalikot!$H$26,"kg",IF(C139=Pudotusvalikot!$H$27,"kg",IF(C139=Pudotusvalikot!$H$28,"kg","Yksikkö")))))))))))))))</f>
        <v>Yksikkö</v>
      </c>
      <c r="E140" s="34"/>
      <c r="G140" s="34"/>
      <c r="H140" s="84"/>
      <c r="J140" s="33" t="s">
        <v>364</v>
      </c>
      <c r="K140" s="96" t="str">
        <f>IF(ISNUMBER(L140),L140,IF(C139=Pudotusvalikot!$H$14,"--",IF(C139=Pudotusvalikot!$H$15,Materiaalit!$G$39,IF(C139=Pudotusvalikot!$H$16,Materiaalit!$G$40,IF(C139=Pudotusvalikot!$H$17,Materiaalit!$G$41,IF(C139=Pudotusvalikot!$H$18,Materiaalit!$G$42,IF(C139=Pudotusvalikot!$H$19,Materiaalit!$G$43,IF(C139=Pudotusvalikot!$H$20,Materiaalit!$G$44,IF(C139=Pudotusvalikot!$H$21,Materiaalit!$G$45,IF(C139=Pudotusvalikot!$H$22,Materiaalit!$G$46,IF(C139=Pudotusvalikot!$H$23,Materiaalit!$G$47,IF(C139=Pudotusvalikot!$H$24,Materiaalit!$G$48,IF(C139=Pudotusvalikot!$H$25,Materiaalit!$G$49,IF(C139=Pudotusvalikot!$H$26,Materiaalit!$G$50,IF(C139=Pudotusvalikot!$H$27,Materiaalit!$G$51,IF(C139=Pudotusvalikot!$H$28,Materiaalit!$G$52,"Anna kerroin"))))))))))))))))</f>
        <v>--</v>
      </c>
      <c r="L140" s="40"/>
      <c r="M140" s="96" t="str">
        <f>IF(D140="Yksikkö","--","kgCO2e/" &amp;D140)</f>
        <v>--</v>
      </c>
      <c r="N140" s="42"/>
      <c r="O140" s="267"/>
      <c r="Q140" s="35"/>
      <c r="R140" s="50" t="str">
        <f>IF(NOT(AND(ISNUMBER(K140),ISNUMBER(C140))),"",C140*K140*IF(C139=Pudotusvalikot!$H$14,1,IF(C139=Pudotusvalikot!$H$15,Materiaalit!$K$39,IF(C139=Pudotusvalikot!$H$16,Materiaalit!$K$40,IF(C139=Pudotusvalikot!$H$17,Materiaalit!$K$41,IF(C139=Pudotusvalikot!$H$18,Materiaalit!$K$42,IF(C139=Pudotusvalikot!$H$19,Materiaalit!$K$43,IF(C139=Pudotusvalikot!$H$20,Materiaalit!$K$44,IF(C139=Pudotusvalikot!$H$21,Materiaalit!$K$45,IF(C139=Pudotusvalikot!$H$22,Materiaalit!$K$46,IF(C139=Pudotusvalikot!$H$23,Materiaalit!$K$47,IF(C139=Pudotusvalikot!$H$24,Materiaalit!$K$48,IF(C139=Pudotusvalikot!$H$25,Materiaalit!$K$49,IF(C139=Pudotusvalikot!$H$26,Materiaalit!$K$50,IF(C139=Pudotusvalikot!$H$27,Materiaalit!$K$51,Materiaalit!$K$52)))))))))))))))</f>
        <v/>
      </c>
      <c r="S140" s="102" t="s">
        <v>172</v>
      </c>
      <c r="T140" s="108"/>
      <c r="U140" s="36"/>
      <c r="V140" s="36"/>
      <c r="W140" s="36"/>
      <c r="X140" s="36"/>
      <c r="Y140" s="36"/>
      <c r="Z140" s="36"/>
      <c r="AA140" s="36"/>
      <c r="AB140" s="36"/>
      <c r="AC140" s="36"/>
      <c r="AD140" s="36"/>
      <c r="AE140" s="36"/>
      <c r="AF140" s="36"/>
      <c r="AG140" s="36"/>
      <c r="AH140" s="36"/>
      <c r="AI140" s="36"/>
      <c r="AJ140" s="36"/>
      <c r="AK140" s="36"/>
      <c r="AL140" s="36"/>
      <c r="AM140" s="36"/>
      <c r="AN140" s="37"/>
      <c r="AO140" s="37"/>
      <c r="AP140" s="37"/>
      <c r="AQ140" s="37"/>
      <c r="AR140" s="37"/>
      <c r="AS140" s="37"/>
      <c r="AT140" s="37"/>
      <c r="AU140" s="37"/>
      <c r="AV140" s="37"/>
      <c r="AW140" s="37"/>
      <c r="AX140" s="37"/>
      <c r="AY140" s="37"/>
      <c r="AZ140" s="37"/>
      <c r="BA140" s="37"/>
      <c r="BB140" s="37"/>
      <c r="BC140" s="37"/>
      <c r="BD140" s="37"/>
      <c r="BE140" s="37"/>
    </row>
    <row r="141" spans="2:59" s="31" customFormat="1" ht="15.5" x14ac:dyDescent="0.3">
      <c r="B141" s="164" t="s">
        <v>338</v>
      </c>
      <c r="C141" s="34"/>
      <c r="D141" s="84"/>
      <c r="G141" s="34"/>
      <c r="H141" s="84"/>
      <c r="J141" s="33"/>
      <c r="K141" s="38"/>
      <c r="L141" s="38"/>
      <c r="M141" s="38"/>
      <c r="N141" s="38"/>
      <c r="O141" s="268"/>
      <c r="Q141" s="35"/>
      <c r="R141" s="61"/>
      <c r="S141" s="36"/>
      <c r="T141" s="108"/>
      <c r="U141" s="36"/>
      <c r="V141" s="36"/>
      <c r="W141" s="36"/>
      <c r="X141" s="36"/>
      <c r="Y141" s="36"/>
      <c r="Z141" s="36"/>
      <c r="AA141" s="36"/>
      <c r="AB141" s="36"/>
      <c r="AC141" s="36"/>
      <c r="AD141" s="36"/>
      <c r="AE141" s="36"/>
      <c r="AF141" s="36"/>
      <c r="AG141" s="36"/>
      <c r="AH141" s="36"/>
      <c r="AI141" s="36"/>
      <c r="AJ141" s="36"/>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9" s="31" customFormat="1" ht="46.5" x14ac:dyDescent="0.3">
      <c r="B142" s="78" t="s">
        <v>726</v>
      </c>
      <c r="C142" s="395" t="s">
        <v>111</v>
      </c>
      <c r="D142" s="395"/>
      <c r="G142" s="34"/>
      <c r="H142" s="84"/>
      <c r="J142" s="33"/>
      <c r="K142" s="38" t="s">
        <v>329</v>
      </c>
      <c r="L142" s="38" t="s">
        <v>201</v>
      </c>
      <c r="M142" s="38" t="s">
        <v>319</v>
      </c>
      <c r="N142" s="38"/>
      <c r="O142" s="268"/>
      <c r="Q142" s="35"/>
      <c r="R142" s="36" t="s">
        <v>350</v>
      </c>
      <c r="S142" s="36"/>
      <c r="T142" s="108"/>
      <c r="U142" s="36"/>
      <c r="V142" s="36"/>
      <c r="W142" s="36"/>
      <c r="X142" s="36"/>
      <c r="Y142" s="36"/>
      <c r="Z142" s="36"/>
      <c r="AA142" s="36"/>
      <c r="AB142" s="36"/>
      <c r="AC142" s="36"/>
      <c r="AD142" s="36"/>
      <c r="AE142" s="36"/>
      <c r="AF142" s="36"/>
      <c r="AG142" s="36"/>
      <c r="AH142" s="36"/>
      <c r="AI142" s="36"/>
      <c r="AJ142" s="36"/>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9" s="31" customFormat="1" ht="15.5" x14ac:dyDescent="0.3">
      <c r="B143" s="54" t="s">
        <v>599</v>
      </c>
      <c r="C143" s="160"/>
      <c r="D143" s="84" t="str">
        <f>IF(C142=Pudotusvalikot!$H$14,"Yksikkö",IF(C142=Pudotusvalikot!$H$15,"m",IF(C142=Pudotusvalikot!$H$16,"m2",IF(C142=Pudotusvalikot!$H$17,"kg",IF(C142=Pudotusvalikot!$H$18,"kg",IF(C142=Pudotusvalikot!$H$19,"m2",IF(C142=Pudotusvalikot!$H$20,"kg",IF(C142=Pudotusvalikot!$H$21,"kg",IF(C142=Pudotusvalikot!$H$22,"kg",IF(C142=Pudotusvalikot!$H$23,"kg",IF(C142=Pudotusvalikot!$H$24,"kg",IF(C142=Pudotusvalikot!$H$25,"kg",IF(C142=Pudotusvalikot!$H$26,"kg",IF(C142=Pudotusvalikot!$H$27,"kg",IF(C142=Pudotusvalikot!$H$28,"kg","Yksikkö")))))))))))))))</f>
        <v>Yksikkö</v>
      </c>
      <c r="E143" s="34"/>
      <c r="F143" s="34"/>
      <c r="G143" s="34"/>
      <c r="H143" s="84"/>
      <c r="J143" s="33" t="s">
        <v>364</v>
      </c>
      <c r="K143" s="96" t="str">
        <f>IF(ISNUMBER(L143),L143,IF(C142=Pudotusvalikot!$H$14,"--",IF(C142=Pudotusvalikot!$H$15,Materiaalit!$G$39,IF(C142=Pudotusvalikot!$H$16,Materiaalit!$G$40,IF(C142=Pudotusvalikot!$H$17,Materiaalit!$G$41,IF(C142=Pudotusvalikot!$H$18,Materiaalit!$G$42,IF(C142=Pudotusvalikot!$H$19,Materiaalit!$G$43,IF(C142=Pudotusvalikot!$H$20,Materiaalit!$G$44,IF(C142=Pudotusvalikot!$H$21,Materiaalit!$G$45,IF(C142=Pudotusvalikot!$H$22,Materiaalit!$G$46,IF(C142=Pudotusvalikot!$H$23,Materiaalit!$G$47,IF(C142=Pudotusvalikot!$H$24,Materiaalit!$G$48,IF(C142=Pudotusvalikot!$H$25,Materiaalit!$G$49,IF(C142=Pudotusvalikot!$H$26,Materiaalit!$G$50,IF(C142=Pudotusvalikot!$H$27,Materiaalit!$G$51,IF(C142=Pudotusvalikot!$H$28,Materiaalit!$G$52,"Anna kerroin"))))))))))))))))</f>
        <v>--</v>
      </c>
      <c r="L143" s="40"/>
      <c r="M143" s="96" t="str">
        <f>IF(D143="Yksikkö","--","kgCO2e/" &amp;D143)</f>
        <v>--</v>
      </c>
      <c r="N143" s="42"/>
      <c r="O143" s="267"/>
      <c r="Q143" s="35"/>
      <c r="R143" s="50" t="str">
        <f>IF(NOT(AND(ISNUMBER(K143),ISNUMBER(C143))),"",C143*K143*IF(C142=Pudotusvalikot!$H$14,1,IF(C142=Pudotusvalikot!$H$15,Materiaalit!$K$39,IF(C142=Pudotusvalikot!$H$16,Materiaalit!$K$40,IF(C142=Pudotusvalikot!$H$17,Materiaalit!$K$41,IF(C142=Pudotusvalikot!$H$18,Materiaalit!$K$42,IF(C142=Pudotusvalikot!$H$19,Materiaalit!$K$43,IF(C142=Pudotusvalikot!$H$20,Materiaalit!$K$44,IF(C142=Pudotusvalikot!$H$21,Materiaalit!$K$45,IF(C142=Pudotusvalikot!$H$22,Materiaalit!$K$46,IF(C142=Pudotusvalikot!$H$23,Materiaalit!$K$47,IF(C142=Pudotusvalikot!$H$24,Materiaalit!$K$48,IF(C142=Pudotusvalikot!$H$25,Materiaalit!$K$49,IF(C142=Pudotusvalikot!$H$26,Materiaalit!$K$50,IF(C142=Pudotusvalikot!$H$27,Materiaalit!$K$51,Materiaalit!$K$52)))))))))))))))</f>
        <v/>
      </c>
      <c r="S143" s="102" t="s">
        <v>172</v>
      </c>
      <c r="T143" s="108"/>
      <c r="U143" s="36"/>
      <c r="V143" s="36"/>
      <c r="W143" s="36"/>
      <c r="X143" s="36"/>
      <c r="Y143" s="36"/>
      <c r="Z143" s="36"/>
      <c r="AA143" s="36"/>
      <c r="AB143" s="36"/>
      <c r="AC143" s="36"/>
      <c r="AD143" s="36"/>
      <c r="AE143" s="36"/>
      <c r="AF143" s="36"/>
      <c r="AG143" s="36"/>
      <c r="AH143" s="36"/>
      <c r="AI143" s="36"/>
      <c r="AJ143" s="36"/>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9" s="31" customFormat="1" ht="15.5" x14ac:dyDescent="0.3">
      <c r="B144" s="164" t="s">
        <v>339</v>
      </c>
      <c r="C144" s="34"/>
      <c r="D144" s="84"/>
      <c r="G144" s="34"/>
      <c r="H144" s="84"/>
      <c r="J144" s="33"/>
      <c r="K144" s="38"/>
      <c r="L144" s="38"/>
      <c r="M144" s="38"/>
      <c r="N144" s="38"/>
      <c r="O144" s="268"/>
      <c r="Q144" s="35"/>
      <c r="R144" s="61"/>
      <c r="S144" s="36"/>
      <c r="T144" s="108"/>
      <c r="U144" s="36"/>
      <c r="V144" s="36"/>
      <c r="W144" s="36"/>
      <c r="X144" s="36"/>
      <c r="Y144" s="36"/>
      <c r="Z144" s="36"/>
      <c r="AA144" s="36"/>
      <c r="AB144" s="36"/>
      <c r="AC144" s="36"/>
      <c r="AD144" s="36"/>
      <c r="AE144" s="36"/>
      <c r="AF144" s="36"/>
      <c r="AG144" s="36"/>
      <c r="AH144" s="36"/>
      <c r="AI144" s="36"/>
      <c r="AJ144" s="36"/>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46.5" x14ac:dyDescent="0.3">
      <c r="B145" s="78" t="s">
        <v>726</v>
      </c>
      <c r="C145" s="395" t="s">
        <v>111</v>
      </c>
      <c r="D145" s="395"/>
      <c r="G145" s="34"/>
      <c r="H145" s="84"/>
      <c r="J145" s="33"/>
      <c r="K145" s="38" t="s">
        <v>329</v>
      </c>
      <c r="L145" s="38" t="s">
        <v>201</v>
      </c>
      <c r="M145" s="38" t="s">
        <v>319</v>
      </c>
      <c r="N145" s="38"/>
      <c r="O145" s="268"/>
      <c r="Q145" s="35"/>
      <c r="R145" s="36" t="s">
        <v>350</v>
      </c>
      <c r="S145" s="36"/>
      <c r="T145" s="108"/>
      <c r="U145" s="36"/>
      <c r="V145" s="36"/>
      <c r="W145" s="36"/>
      <c r="X145" s="36"/>
      <c r="Y145" s="36"/>
      <c r="Z145" s="36"/>
      <c r="AA145" s="36"/>
      <c r="AB145" s="36"/>
      <c r="AC145" s="36"/>
      <c r="AD145" s="36"/>
      <c r="AE145" s="36"/>
      <c r="AF145" s="36"/>
      <c r="AG145" s="36"/>
      <c r="AH145" s="36"/>
      <c r="AI145" s="36"/>
      <c r="AJ145" s="36"/>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5" x14ac:dyDescent="0.3">
      <c r="B146" s="54" t="s">
        <v>599</v>
      </c>
      <c r="C146" s="160"/>
      <c r="D146" s="84" t="str">
        <f>IF(C145=Pudotusvalikot!$H$14,"Yksikkö",IF(C145=Pudotusvalikot!$H$15,"m",IF(C145=Pudotusvalikot!$H$16,"m2",IF(C145=Pudotusvalikot!$H$17,"kg",IF(C145=Pudotusvalikot!$H$18,"kg",IF(C145=Pudotusvalikot!$H$19,"m2",IF(C145=Pudotusvalikot!$H$20,"kg",IF(C145=Pudotusvalikot!$H$21,"kg",IF(C145=Pudotusvalikot!$H$22,"kg",IF(C145=Pudotusvalikot!$H$23,"kg",IF(C145=Pudotusvalikot!$H$24,"kg",IF(C145=Pudotusvalikot!$H$25,"kg",IF(C145=Pudotusvalikot!$H$26,"kg",IF(C145=Pudotusvalikot!$H$27,"kg",IF(C145=Pudotusvalikot!$H$28,"kg","Yksikkö")))))))))))))))</f>
        <v>Yksikkö</v>
      </c>
      <c r="E146" s="34"/>
      <c r="G146" s="34"/>
      <c r="H146" s="84"/>
      <c r="J146" s="33" t="s">
        <v>364</v>
      </c>
      <c r="K146" s="96" t="str">
        <f>IF(ISNUMBER(L146),L146,IF(C145=Pudotusvalikot!$H$14,"--",IF(C145=Pudotusvalikot!$H$15,Materiaalit!$G$39,IF(C145=Pudotusvalikot!$H$16,Materiaalit!$G$40,IF(C145=Pudotusvalikot!$H$17,Materiaalit!$G$41,IF(C145=Pudotusvalikot!$H$18,Materiaalit!$G$42,IF(C145=Pudotusvalikot!$H$19,Materiaalit!$G$43,IF(C145=Pudotusvalikot!$H$20,Materiaalit!$G$44,IF(C145=Pudotusvalikot!$H$21,Materiaalit!$G$45,IF(C145=Pudotusvalikot!$H$22,Materiaalit!$G$46,IF(C145=Pudotusvalikot!$H$23,Materiaalit!$G$47,IF(C145=Pudotusvalikot!$H$24,Materiaalit!$G$48,IF(C145=Pudotusvalikot!$H$25,Materiaalit!$G$49,IF(C145=Pudotusvalikot!$H$26,Materiaalit!$G$50,IF(C145=Pudotusvalikot!$H$27,Materiaalit!$G$51,IF(C145=Pudotusvalikot!$H$28,Materiaalit!$G$52,"Anna kerroin"))))))))))))))))</f>
        <v>--</v>
      </c>
      <c r="L146" s="40"/>
      <c r="M146" s="96" t="str">
        <f>IF(D146="Yksikkö","--","kgCO2e/" &amp;D146)</f>
        <v>--</v>
      </c>
      <c r="N146" s="42"/>
      <c r="O146" s="267"/>
      <c r="Q146" s="35"/>
      <c r="R146" s="50" t="str">
        <f>IF(NOT(AND(ISNUMBER(K146),ISNUMBER(C146))),"",C146*K146*IF(C145=Pudotusvalikot!$H$14,1,IF(C145=Pudotusvalikot!$H$15,Materiaalit!$K$39,IF(C145=Pudotusvalikot!$H$16,Materiaalit!$K$40,IF(C145=Pudotusvalikot!$H$17,Materiaalit!$K$41,IF(C145=Pudotusvalikot!$H$18,Materiaalit!$K$42,IF(C145=Pudotusvalikot!$H$19,Materiaalit!$K$43,IF(C145=Pudotusvalikot!$H$20,Materiaalit!$K$44,IF(C145=Pudotusvalikot!$H$21,Materiaalit!$K$45,IF(C145=Pudotusvalikot!$H$22,Materiaalit!$K$46,IF(C145=Pudotusvalikot!$H$23,Materiaalit!$K$47,IF(C145=Pudotusvalikot!$H$24,Materiaalit!$K$48,IF(C145=Pudotusvalikot!$H$25,Materiaalit!$K$49,IF(C145=Pudotusvalikot!$H$26,Materiaalit!$K$50,IF(C145=Pudotusvalikot!$H$27,Materiaalit!$K$51,Materiaalit!$K$52)))))))))))))))</f>
        <v/>
      </c>
      <c r="S146" s="102" t="s">
        <v>172</v>
      </c>
      <c r="T146" s="108"/>
      <c r="U146" s="36"/>
      <c r="V146" s="36"/>
      <c r="W146" s="36"/>
      <c r="X146" s="36"/>
      <c r="Y146" s="36"/>
      <c r="Z146" s="36"/>
      <c r="AA146" s="36"/>
      <c r="AB146" s="36"/>
      <c r="AC146" s="36"/>
      <c r="AD146" s="36"/>
      <c r="AE146" s="36"/>
      <c r="AF146" s="36"/>
      <c r="AG146" s="36"/>
      <c r="AH146" s="36"/>
      <c r="AI146" s="36"/>
      <c r="AJ146" s="36"/>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31" customFormat="1" ht="15.5" x14ac:dyDescent="0.3">
      <c r="C147" s="34"/>
      <c r="D147" s="84"/>
      <c r="G147" s="34"/>
      <c r="H147" s="84"/>
      <c r="J147" s="33"/>
      <c r="K147" s="34"/>
      <c r="L147" s="34"/>
      <c r="M147" s="84"/>
      <c r="N147" s="84"/>
      <c r="O147" s="84"/>
      <c r="Q147" s="35"/>
      <c r="R147" s="99"/>
      <c r="S147" s="36"/>
      <c r="T147" s="36"/>
      <c r="U147" s="36"/>
      <c r="V147" s="36"/>
      <c r="W147" s="36"/>
      <c r="X147" s="36"/>
      <c r="Y147" s="36"/>
      <c r="Z147" s="36"/>
      <c r="AA147" s="36"/>
      <c r="AB147" s="36"/>
      <c r="AC147" s="36"/>
      <c r="AD147" s="36"/>
      <c r="AE147" s="36"/>
      <c r="AF147" s="36"/>
      <c r="AG147" s="36"/>
      <c r="AH147" s="36"/>
      <c r="AI147" s="36"/>
      <c r="AJ147" s="36"/>
      <c r="AK147" s="36"/>
      <c r="AL147" s="36"/>
      <c r="AM147" s="36"/>
      <c r="AN147" s="37"/>
      <c r="AO147" s="37"/>
      <c r="AP147" s="37"/>
      <c r="AQ147" s="37"/>
      <c r="AR147" s="37"/>
      <c r="AS147" s="37"/>
      <c r="AT147" s="37"/>
      <c r="AU147" s="37"/>
      <c r="AV147" s="37"/>
      <c r="AW147" s="37"/>
      <c r="AX147" s="37"/>
      <c r="AY147" s="37"/>
      <c r="AZ147" s="37"/>
      <c r="BA147" s="37"/>
      <c r="BB147" s="37"/>
      <c r="BC147" s="37"/>
      <c r="BD147" s="37"/>
      <c r="BE147" s="37"/>
    </row>
    <row r="148" spans="2:57" s="298" customFormat="1" ht="18" x14ac:dyDescent="0.3">
      <c r="B148" s="295" t="s">
        <v>318</v>
      </c>
      <c r="C148" s="296"/>
      <c r="D148" s="297"/>
      <c r="G148" s="296"/>
      <c r="H148" s="297"/>
      <c r="K148" s="296"/>
      <c r="L148" s="296"/>
      <c r="M148" s="297"/>
      <c r="N148" s="297"/>
      <c r="O148" s="300"/>
      <c r="P148" s="320"/>
      <c r="Q148" s="304"/>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3"/>
      <c r="AN148" s="304"/>
      <c r="AO148" s="304"/>
      <c r="AP148" s="304"/>
      <c r="AQ148" s="304"/>
      <c r="AR148" s="304"/>
      <c r="AS148" s="304"/>
      <c r="AT148" s="304"/>
      <c r="AU148" s="304"/>
      <c r="AV148" s="304"/>
      <c r="AW148" s="304"/>
      <c r="AX148" s="304"/>
      <c r="AY148" s="304"/>
      <c r="AZ148" s="304"/>
      <c r="BA148" s="304"/>
      <c r="BB148" s="304"/>
      <c r="BC148" s="304"/>
      <c r="BD148" s="304"/>
      <c r="BE148" s="304"/>
    </row>
    <row r="149" spans="2:57" s="31" customFormat="1" ht="15.5" x14ac:dyDescent="0.3">
      <c r="B149" s="9"/>
      <c r="C149" s="34"/>
      <c r="D149" s="84"/>
      <c r="G149" s="34"/>
      <c r="H149" s="84"/>
      <c r="J149" s="33"/>
      <c r="K149" s="34"/>
      <c r="L149" s="34"/>
      <c r="M149" s="84"/>
      <c r="N149" s="84"/>
      <c r="O149" s="255" t="s">
        <v>644</v>
      </c>
      <c r="Q149" s="35"/>
      <c r="R149" s="99"/>
      <c r="S149" s="36"/>
      <c r="T149" s="36"/>
      <c r="U149" s="36"/>
      <c r="V149" s="36"/>
      <c r="W149" s="36"/>
      <c r="X149" s="36"/>
      <c r="Y149" s="36"/>
      <c r="Z149" s="36"/>
      <c r="AA149" s="36"/>
      <c r="AB149" s="36"/>
      <c r="AC149" s="36"/>
      <c r="AD149" s="36"/>
      <c r="AE149" s="36"/>
      <c r="AF149" s="36"/>
      <c r="AG149" s="36"/>
      <c r="AH149" s="36"/>
      <c r="AI149" s="36"/>
      <c r="AJ149" s="36"/>
      <c r="AK149" s="36"/>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45.75" customHeight="1" x14ac:dyDescent="0.3">
      <c r="B150" s="398" t="s">
        <v>568</v>
      </c>
      <c r="C150" s="398"/>
      <c r="D150" s="398"/>
      <c r="E150" s="398"/>
      <c r="F150" s="398"/>
      <c r="G150" s="398"/>
      <c r="H150" s="398"/>
      <c r="J150" s="33"/>
      <c r="K150" s="42"/>
      <c r="L150" s="42"/>
      <c r="M150" s="41"/>
      <c r="N150" s="41"/>
      <c r="O150" s="256"/>
      <c r="Q150" s="35"/>
      <c r="R150" s="61"/>
      <c r="S150" s="102"/>
      <c r="T150" s="36"/>
      <c r="U150" s="36"/>
      <c r="V150" s="44"/>
      <c r="W150" s="36"/>
      <c r="X150" s="44"/>
      <c r="Y150" s="44"/>
      <c r="Z150" s="44"/>
      <c r="AA150" s="36"/>
      <c r="AB150" s="108"/>
      <c r="AC150" s="36"/>
      <c r="AD150" s="36"/>
      <c r="AE150" s="36"/>
      <c r="AF150" s="36"/>
      <c r="AG150" s="36"/>
      <c r="AH150" s="36"/>
      <c r="AI150" s="36"/>
      <c r="AJ150" s="36"/>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60.75" customHeight="1" x14ac:dyDescent="0.3">
      <c r="B151" s="398" t="s">
        <v>729</v>
      </c>
      <c r="C151" s="398"/>
      <c r="D151" s="398"/>
      <c r="E151" s="398"/>
      <c r="F151" s="398"/>
      <c r="G151" s="398"/>
      <c r="H151" s="398"/>
      <c r="J151" s="33"/>
      <c r="K151" s="42"/>
      <c r="L151" s="42"/>
      <c r="M151" s="41"/>
      <c r="N151" s="41"/>
      <c r="O151" s="256"/>
      <c r="Q151" s="35"/>
      <c r="R151" s="61"/>
      <c r="S151" s="102"/>
      <c r="T151" s="36"/>
      <c r="U151" s="36"/>
      <c r="V151" s="44"/>
      <c r="W151" s="36"/>
      <c r="X151" s="44"/>
      <c r="Y151" s="44"/>
      <c r="Z151" s="44"/>
      <c r="AA151" s="36"/>
      <c r="AB151" s="108"/>
      <c r="AC151" s="36"/>
      <c r="AD151" s="36"/>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5" x14ac:dyDescent="0.3">
      <c r="B152" s="9"/>
      <c r="C152" s="34"/>
      <c r="D152" s="84"/>
      <c r="G152" s="34"/>
      <c r="H152" s="84"/>
      <c r="J152" s="33"/>
      <c r="K152" s="34"/>
      <c r="L152" s="34"/>
      <c r="M152" s="84"/>
      <c r="N152" s="84"/>
      <c r="O152" s="100"/>
      <c r="Q152" s="35"/>
      <c r="R152" s="99"/>
      <c r="S152" s="36"/>
      <c r="T152" s="36"/>
      <c r="U152" s="36"/>
      <c r="V152" s="36"/>
      <c r="W152" s="36"/>
      <c r="X152" s="36"/>
      <c r="Y152" s="36"/>
      <c r="Z152" s="36"/>
      <c r="AA152" s="36"/>
      <c r="AB152" s="36"/>
      <c r="AC152" s="36"/>
      <c r="AD152" s="36"/>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5" x14ac:dyDescent="0.3">
      <c r="B153" s="9" t="str">
        <f>B132</f>
        <v>Kemikaali-, tuote- tai materiaalilaji 1</v>
      </c>
      <c r="C153" s="34"/>
      <c r="D153" s="84"/>
      <c r="G153" s="34"/>
      <c r="H153" s="84"/>
      <c r="J153" s="33"/>
      <c r="K153" s="34"/>
      <c r="L153" s="34"/>
      <c r="M153" s="84"/>
      <c r="N153" s="84"/>
      <c r="O153" s="100"/>
      <c r="Q153" s="35"/>
      <c r="R153" s="36" t="s">
        <v>350</v>
      </c>
      <c r="S153" s="36"/>
      <c r="T153" s="36"/>
      <c r="U153" s="36"/>
      <c r="V153" s="36"/>
      <c r="W153" s="36"/>
      <c r="X153" s="36"/>
      <c r="Y153" s="36"/>
      <c r="Z153" s="36"/>
      <c r="AA153" s="36"/>
      <c r="AB153" s="108"/>
      <c r="AC153" s="36"/>
      <c r="AD153" s="36"/>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15.5" x14ac:dyDescent="0.3">
      <c r="B154" s="54" t="s">
        <v>375</v>
      </c>
      <c r="C154" s="160"/>
      <c r="D154" s="84" t="s">
        <v>281</v>
      </c>
      <c r="G154" s="34" t="s">
        <v>340</v>
      </c>
      <c r="H154" s="84"/>
      <c r="J154" s="33"/>
      <c r="K154" s="38" t="s">
        <v>329</v>
      </c>
      <c r="L154" s="38" t="s">
        <v>201</v>
      </c>
      <c r="M154" s="84"/>
      <c r="N154" s="84"/>
      <c r="O154" s="100"/>
      <c r="Q154" s="35"/>
      <c r="R154" s="50" t="str">
        <f>IF(AND(ISNUMBER(G155),ISNUMBER(C154)),SUM(R155,R158:R160),"")</f>
        <v/>
      </c>
      <c r="S154" s="102" t="s">
        <v>172</v>
      </c>
      <c r="T154" s="36"/>
      <c r="U154" s="36"/>
      <c r="V154" s="36"/>
      <c r="W154" s="36"/>
      <c r="X154" s="36"/>
      <c r="Y154" s="36"/>
      <c r="Z154" s="36"/>
      <c r="AA154" s="36"/>
      <c r="AB154" s="108"/>
      <c r="AC154" s="36"/>
      <c r="AD154" s="36"/>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46.5" x14ac:dyDescent="0.3">
      <c r="B155" s="155" t="s">
        <v>728</v>
      </c>
      <c r="C155" s="396" t="s">
        <v>283</v>
      </c>
      <c r="D155" s="397"/>
      <c r="G155" s="156"/>
      <c r="H155" s="84" t="s">
        <v>5</v>
      </c>
      <c r="J155" s="173" t="s">
        <v>441</v>
      </c>
      <c r="K155" s="96">
        <f>IF(ISNUMBER(L155),L155,IF(C155=Pudotusvalikot!$N$4,Kalusto!$G$105,IF(C155=Pudotusvalikot!$N$5,Kalusto!$G$106,IF(C155=Pudotusvalikot!$N$6,Kalusto!$G$107,IF(C155=Pudotusvalikot!$N$7,Kalusto!$G$108,Kalusto!$G$105))))*IF(OR(C157=Pudotusvalikot!$V$3,C157=Pudotusvalikot!$V$4),Muut!$E$38,IF(C157=Pudotusvalikot!$V$5,Muut!$E$39,IF(C157=Pudotusvalikot!$V$6,Muut!$E$40,Muut!$E$41))))</f>
        <v>4.9950000000000001E-2</v>
      </c>
      <c r="L155" s="40"/>
      <c r="M155" s="41" t="s">
        <v>200</v>
      </c>
      <c r="N155" s="41"/>
      <c r="O155" s="265"/>
      <c r="Q155" s="35"/>
      <c r="R155" s="50" t="str">
        <f>IF(ISNUMBER(Y156*X156*K155),Y156*X156*K155,"")</f>
        <v/>
      </c>
      <c r="S155" s="102" t="s">
        <v>172</v>
      </c>
      <c r="T155" s="36" t="s">
        <v>446</v>
      </c>
      <c r="U155" s="36" t="s">
        <v>384</v>
      </c>
      <c r="V155" s="44" t="s">
        <v>443</v>
      </c>
      <c r="W155" s="36" t="s">
        <v>444</v>
      </c>
      <c r="X155" s="44" t="s">
        <v>447</v>
      </c>
      <c r="Y155" s="44" t="s">
        <v>449</v>
      </c>
      <c r="Z155" s="44" t="s">
        <v>374</v>
      </c>
      <c r="AA155" s="36"/>
      <c r="AB155" s="108"/>
      <c r="AC155" s="36"/>
      <c r="AD155" s="36"/>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31" x14ac:dyDescent="0.3">
      <c r="B156" s="78" t="s">
        <v>530</v>
      </c>
      <c r="C156" s="392" t="s">
        <v>93</v>
      </c>
      <c r="D156" s="393"/>
      <c r="E156" s="393"/>
      <c r="F156" s="393"/>
      <c r="G156" s="394"/>
      <c r="J156" s="33"/>
      <c r="K156" s="38" t="s">
        <v>329</v>
      </c>
      <c r="L156" s="38" t="s">
        <v>201</v>
      </c>
      <c r="M156" s="41"/>
      <c r="N156" s="41"/>
      <c r="O156" s="265"/>
      <c r="Q156" s="47"/>
      <c r="R156" s="108"/>
      <c r="S156" s="36"/>
      <c r="T156" s="48" t="str">
        <f>IF(ISNUMBER(L155),"Kohdetieto",IF(OR(C156=Pudotusvalikot!$D$14,C156=Pudotusvalikot!$D$15),Kalusto!$I$96,VLOOKUP(C156,Kalusto!$C$44:$L$83,7,FALSE)))</f>
        <v>Puoliperävaunu</v>
      </c>
      <c r="U156" s="48">
        <f>IF(ISNUMBER(L155),"Kohdetieto",IF(OR(C156=Pudotusvalikot!$D$14,C156=Pudotusvalikot!$D$15),Kalusto!$J$96,VLOOKUP(C156,Kalusto!$C$44:$L$83,8,FALSE)))</f>
        <v>40</v>
      </c>
      <c r="V156" s="49">
        <f>IF(ISNUMBER(L155),"Kohdetieto",IF(OR(C156=Pudotusvalikot!$D$14,C156=Pudotusvalikot!$D$15),Kalusto!$K$96,VLOOKUP(C156,Kalusto!$C$44:$L$83,9,FALSE)))</f>
        <v>0.8</v>
      </c>
      <c r="W156" s="49" t="str">
        <f>IF(ISNUMBER(L155),"Kohdetieto",IF(OR(C156=Pudotusvalikot!$D$14,C156=Pudotusvalikot!$D$15),Kalusto!$L$96,VLOOKUP(C156,Kalusto!$C$44:$L$83,10,FALSE)))</f>
        <v>maantieajo</v>
      </c>
      <c r="X156" s="50" t="str">
        <f>IF(ISBLANK(C154),"",C154/1000)</f>
        <v/>
      </c>
      <c r="Y156" s="48" t="str">
        <f>IF(ISNUMBER(G155),G155,"")</f>
        <v/>
      </c>
      <c r="Z156" s="51">
        <f>IF(ISNUMBER(L155),L155,K155)</f>
        <v>4.9950000000000001E-2</v>
      </c>
      <c r="AA156" s="36"/>
      <c r="AB156" s="108"/>
      <c r="AC156" s="36"/>
      <c r="AD156" s="36"/>
      <c r="AE156" s="36"/>
      <c r="AF156" s="36"/>
      <c r="AG156" s="36"/>
      <c r="AH156" s="36"/>
      <c r="AI156" s="36"/>
      <c r="AJ156" s="36"/>
      <c r="AK156" s="36"/>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5" x14ac:dyDescent="0.3">
      <c r="B157" s="78" t="s">
        <v>506</v>
      </c>
      <c r="C157" s="160" t="s">
        <v>242</v>
      </c>
      <c r="D157" s="34"/>
      <c r="E157" s="34"/>
      <c r="F157" s="34"/>
      <c r="G157" s="34"/>
      <c r="H157" s="59"/>
      <c r="J157" s="173"/>
      <c r="K157" s="173"/>
      <c r="L157" s="173"/>
      <c r="M157" s="41"/>
      <c r="N157" s="41"/>
      <c r="O157" s="265"/>
      <c r="Q157" s="47"/>
      <c r="R157" s="36"/>
      <c r="S157" s="36"/>
      <c r="T157" s="36"/>
      <c r="U157" s="36"/>
      <c r="V157" s="181"/>
      <c r="W157" s="181"/>
      <c r="X157" s="61"/>
      <c r="Y157" s="36"/>
      <c r="Z157" s="61"/>
      <c r="AA157" s="182"/>
      <c r="AB157" s="61"/>
      <c r="AC157" s="61"/>
      <c r="AD157" s="61"/>
      <c r="AE157" s="61"/>
      <c r="AF157" s="182"/>
      <c r="AG157" s="61"/>
      <c r="AH157" s="36"/>
      <c r="AI157" s="36"/>
      <c r="AJ157" s="36"/>
      <c r="AK157" s="108"/>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5" x14ac:dyDescent="0.3">
      <c r="B158" s="155" t="s">
        <v>542</v>
      </c>
      <c r="C158" s="395" t="s">
        <v>283</v>
      </c>
      <c r="D158" s="395"/>
      <c r="E158" s="169"/>
      <c r="G158" s="156"/>
      <c r="H158" s="84" t="s">
        <v>5</v>
      </c>
      <c r="J158" s="33" t="str">
        <f>IF(C158="Kuljetus","Ei oletusta","Oletus (" &amp; IF(C158="Tiekuljetus",Kalusto!$C$105,IF(C158="Raidekuljetus",Kalusto!$C$106,IF(C158="Laivarahti",Kalusto!$C$107,Kalusto!$C$108))) &amp; ")" )</f>
        <v>Oletus (Puoliperävaunuyhdistelmä, 40 t, 100 % kuorma, maantieajo)</v>
      </c>
      <c r="K158" s="96">
        <f>IF(ISNUMBER(L158),L158,IF(C158=Pudotusvalikot!$N$4,Kalusto!$G$105,IF(C158=Pudotusvalikot!$N$5,Kalusto!$G$106,IF(C158=Pudotusvalikot!$N$6,Kalusto!$G$107,IF(C158=Pudotusvalikot!$N$7,Kalusto!$G$108,Kalusto!$G$105)))))</f>
        <v>4.9950000000000001E-2</v>
      </c>
      <c r="L158" s="40"/>
      <c r="M158" s="41" t="s">
        <v>200</v>
      </c>
      <c r="N158" s="41"/>
      <c r="O158" s="265"/>
      <c r="Q158" s="35"/>
      <c r="R158" s="50" t="str">
        <f>IF(AND(ISNUMBER(G155)*ISNUMBER(C154)),K158*G158*C154,"")</f>
        <v/>
      </c>
      <c r="S158" s="102" t="s">
        <v>172</v>
      </c>
      <c r="T158" s="36"/>
      <c r="U158" s="36"/>
      <c r="V158" s="36"/>
      <c r="W158" s="36"/>
      <c r="X158" s="36"/>
      <c r="Y158" s="36"/>
      <c r="Z158" s="36"/>
      <c r="AA158" s="36"/>
      <c r="AB158" s="108"/>
      <c r="AC158" s="36"/>
      <c r="AD158" s="36"/>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5" x14ac:dyDescent="0.3">
      <c r="B159" s="155" t="s">
        <v>542</v>
      </c>
      <c r="C159" s="395" t="s">
        <v>284</v>
      </c>
      <c r="D159" s="395"/>
      <c r="E159" s="169"/>
      <c r="G159" s="156"/>
      <c r="H159" s="84" t="s">
        <v>5</v>
      </c>
      <c r="J159" s="33" t="str">
        <f>IF(C159="Kuljetus","Ei oletusta","Oletus (" &amp; IF(C159="Tiekuljetus",Kalusto!$C$105,IF(C159="Raidekuljetus",Kalusto!$C$106,IF(C159="Laivarahti",Kalusto!$C$107,Kalusto!$C$108))) &amp; ")" )</f>
        <v>Oletus (Merikuljetus, konttilaiva, 1000 TEU)</v>
      </c>
      <c r="K159" s="96">
        <f>IF(ISNUMBER(L159),L159,IF(C159=Pudotusvalikot!$N$4,Kalusto!$G$105,IF(C159=Pudotusvalikot!$N$5,Kalusto!$G$106,IF(C159=Pudotusvalikot!$N$6,Kalusto!$G$107,IF(C159=Pudotusvalikot!$N$7,Kalusto!$G$108,"--")))))</f>
        <v>4.4999999999999998E-2</v>
      </c>
      <c r="L159" s="40"/>
      <c r="M159" s="41" t="s">
        <v>200</v>
      </c>
      <c r="N159" s="41"/>
      <c r="O159" s="265"/>
      <c r="Q159" s="35"/>
      <c r="R159" s="50" t="str">
        <f>IF(AND(ISNUMBER(G155)*ISNUMBER(C154)),K159*G159*C154,"")</f>
        <v/>
      </c>
      <c r="S159" s="102" t="s">
        <v>172</v>
      </c>
      <c r="T159" s="36"/>
      <c r="U159" s="36"/>
      <c r="V159" s="36"/>
      <c r="W159" s="36"/>
      <c r="X159" s="36"/>
      <c r="Y159" s="36"/>
      <c r="Z159" s="36"/>
      <c r="AA159" s="36"/>
      <c r="AB159" s="108"/>
      <c r="AC159" s="36"/>
      <c r="AD159" s="36"/>
      <c r="AE159" s="36"/>
      <c r="AF159" s="36"/>
      <c r="AG159" s="36"/>
      <c r="AH159" s="36"/>
      <c r="AI159" s="36"/>
      <c r="AJ159" s="36"/>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5" x14ac:dyDescent="0.3">
      <c r="B160" s="155" t="s">
        <v>542</v>
      </c>
      <c r="C160" s="395" t="s">
        <v>283</v>
      </c>
      <c r="D160" s="395"/>
      <c r="E160" s="169"/>
      <c r="G160" s="156"/>
      <c r="H160" s="84" t="s">
        <v>5</v>
      </c>
      <c r="J160" s="33" t="str">
        <f>IF(C160="Kuljetus","Ei oletusta","Oletus (" &amp; IF(C160="Tiekuljetus",Kalusto!$C$105,IF(C160="Raidekuljetus",Kalusto!$C$106,IF(C160="Laivarahti",Kalusto!$C$107,Kalusto!$C$108))) &amp; ")" )</f>
        <v>Oletus (Puoliperävaunuyhdistelmä, 40 t, 100 % kuorma, maantieajo)</v>
      </c>
      <c r="K160" s="96">
        <f>IF(ISNUMBER(L160),L160,IF(C160=Pudotusvalikot!$N$4,Kalusto!$G$105,IF(C160=Pudotusvalikot!$N$5,Kalusto!$G$106,IF(C160=Pudotusvalikot!$N$6,Kalusto!$G$107,IF(C160=Pudotusvalikot!$N$7,Kalusto!$G$108,"--")))))</f>
        <v>4.9950000000000001E-2</v>
      </c>
      <c r="L160" s="40"/>
      <c r="M160" s="41" t="s">
        <v>200</v>
      </c>
      <c r="N160" s="41"/>
      <c r="O160" s="265"/>
      <c r="Q160" s="35"/>
      <c r="R160" s="50" t="str">
        <f>IF(AND(ISNUMBER(G155)*ISNUMBER(C154)),K160*G160*C154,"")</f>
        <v/>
      </c>
      <c r="S160" s="102" t="s">
        <v>172</v>
      </c>
      <c r="T160" s="36"/>
      <c r="U160" s="36"/>
      <c r="V160" s="36"/>
      <c r="W160" s="36"/>
      <c r="X160" s="36"/>
      <c r="Y160" s="36"/>
      <c r="Z160" s="36"/>
      <c r="AA160" s="36"/>
      <c r="AB160" s="108"/>
      <c r="AC160" s="36"/>
      <c r="AD160" s="36"/>
      <c r="AE160" s="36"/>
      <c r="AF160" s="36"/>
      <c r="AG160" s="36"/>
      <c r="AH160" s="36"/>
      <c r="AI160" s="36"/>
      <c r="AJ160" s="36"/>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5" x14ac:dyDescent="0.3">
      <c r="B161" s="9" t="str">
        <f>B135</f>
        <v>Kemikaali-, tuote- tai materiaalilaji 2</v>
      </c>
      <c r="C161" s="34"/>
      <c r="D161" s="84"/>
      <c r="G161" s="72"/>
      <c r="H161" s="84"/>
      <c r="J161" s="33"/>
      <c r="K161" s="34"/>
      <c r="L161" s="34"/>
      <c r="M161" s="84"/>
      <c r="N161" s="84"/>
      <c r="O161" s="100"/>
      <c r="Q161" s="35"/>
      <c r="R161" s="36" t="s">
        <v>350</v>
      </c>
      <c r="S161" s="36"/>
      <c r="T161" s="36"/>
      <c r="U161" s="36"/>
      <c r="V161" s="36"/>
      <c r="W161" s="36"/>
      <c r="X161" s="36"/>
      <c r="Y161" s="36"/>
      <c r="Z161" s="36"/>
      <c r="AA161" s="36"/>
      <c r="AB161" s="108"/>
      <c r="AC161" s="36"/>
      <c r="AD161" s="36"/>
      <c r="AE161" s="36"/>
      <c r="AF161" s="36"/>
      <c r="AG161" s="36"/>
      <c r="AH161" s="36"/>
      <c r="AI161" s="36"/>
      <c r="AJ161" s="36"/>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15.5" x14ac:dyDescent="0.3">
      <c r="B162" s="54" t="s">
        <v>375</v>
      </c>
      <c r="C162" s="160"/>
      <c r="D162" s="84" t="s">
        <v>281</v>
      </c>
      <c r="G162" s="34"/>
      <c r="H162" s="84"/>
      <c r="J162" s="33"/>
      <c r="K162" s="38" t="s">
        <v>329</v>
      </c>
      <c r="L162" s="38" t="s">
        <v>201</v>
      </c>
      <c r="M162" s="84"/>
      <c r="N162" s="84"/>
      <c r="O162" s="100"/>
      <c r="Q162" s="35"/>
      <c r="R162" s="50" t="str">
        <f>IF(AND(ISNUMBER(G163),ISNUMBER(C162)),SUM(R163,R166:R168),"")</f>
        <v/>
      </c>
      <c r="S162" s="102" t="s">
        <v>172</v>
      </c>
      <c r="T162" s="36"/>
      <c r="U162" s="36"/>
      <c r="V162" s="36"/>
      <c r="W162" s="36"/>
      <c r="X162" s="36"/>
      <c r="Y162" s="36"/>
      <c r="Z162" s="36"/>
      <c r="AA162" s="36"/>
      <c r="AB162" s="108"/>
      <c r="AC162" s="36"/>
      <c r="AD162" s="36"/>
      <c r="AE162" s="36"/>
      <c r="AF162" s="36"/>
      <c r="AG162" s="36"/>
      <c r="AH162" s="36"/>
      <c r="AI162" s="36"/>
      <c r="AJ162" s="36"/>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46.5" x14ac:dyDescent="0.3">
      <c r="B163" s="155" t="s">
        <v>728</v>
      </c>
      <c r="C163" s="396" t="s">
        <v>283</v>
      </c>
      <c r="D163" s="397"/>
      <c r="G163" s="156"/>
      <c r="H163" s="84" t="s">
        <v>5</v>
      </c>
      <c r="J163" s="173" t="s">
        <v>441</v>
      </c>
      <c r="K163" s="96">
        <f>IF(ISNUMBER(L163),L163,IF(C163=Pudotusvalikot!$N$4,Kalusto!$G$105,IF(C163=Pudotusvalikot!$N$5,Kalusto!$G$106,IF(C163=Pudotusvalikot!$N$6,Kalusto!$G$107,IF(C163=Pudotusvalikot!$N$7,Kalusto!$G$108,Kalusto!$G$105))))*IF(OR(C165=Pudotusvalikot!$V$3,C165=Pudotusvalikot!$V$4),Muut!$E$38,IF(C165=Pudotusvalikot!$V$5,Muut!$E$39,IF(C165=Pudotusvalikot!$V$6,Muut!$E$40,Muut!$E$41))))</f>
        <v>4.9950000000000001E-2</v>
      </c>
      <c r="L163" s="40"/>
      <c r="M163" s="41" t="s">
        <v>200</v>
      </c>
      <c r="N163" s="41"/>
      <c r="O163" s="265"/>
      <c r="Q163" s="35"/>
      <c r="R163" s="50" t="str">
        <f>IF(ISNUMBER(Y164*X164*K163),Y164*X164*K163,"")</f>
        <v/>
      </c>
      <c r="S163" s="102" t="s">
        <v>172</v>
      </c>
      <c r="T163" s="36" t="s">
        <v>446</v>
      </c>
      <c r="U163" s="36" t="s">
        <v>384</v>
      </c>
      <c r="V163" s="44" t="s">
        <v>443</v>
      </c>
      <c r="W163" s="36" t="s">
        <v>444</v>
      </c>
      <c r="X163" s="44" t="s">
        <v>447</v>
      </c>
      <c r="Y163" s="44" t="s">
        <v>449</v>
      </c>
      <c r="Z163" s="44" t="s">
        <v>374</v>
      </c>
      <c r="AA163" s="36"/>
      <c r="AB163" s="108"/>
      <c r="AC163" s="36"/>
      <c r="AD163" s="36"/>
      <c r="AE163" s="36"/>
      <c r="AF163" s="36"/>
      <c r="AG163" s="36"/>
      <c r="AH163" s="36"/>
      <c r="AI163" s="36"/>
      <c r="AJ163" s="36"/>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5" x14ac:dyDescent="0.3">
      <c r="B164" s="78" t="s">
        <v>377</v>
      </c>
      <c r="C164" s="392" t="s">
        <v>93</v>
      </c>
      <c r="D164" s="393"/>
      <c r="E164" s="393"/>
      <c r="F164" s="393"/>
      <c r="G164" s="394"/>
      <c r="J164" s="33"/>
      <c r="K164" s="38" t="s">
        <v>329</v>
      </c>
      <c r="L164" s="38" t="s">
        <v>201</v>
      </c>
      <c r="M164" s="41"/>
      <c r="N164" s="41"/>
      <c r="O164" s="265"/>
      <c r="Q164" s="47"/>
      <c r="R164" s="108"/>
      <c r="S164" s="36"/>
      <c r="T164" s="48" t="str">
        <f>IF(ISNUMBER(L163),"Kohdetieto",IF(OR(C164=Pudotusvalikot!$D$14,C164=Pudotusvalikot!$D$15),Kalusto!$I$96,VLOOKUP(C164,Kalusto!$C$44:$L$83,7,FALSE)))</f>
        <v>Puoliperävaunu</v>
      </c>
      <c r="U164" s="48">
        <f>IF(ISNUMBER(L163),"Kohdetieto",IF(OR(C164=Pudotusvalikot!$D$14,C164=Pudotusvalikot!$D$15),Kalusto!$J$96,VLOOKUP(C164,Kalusto!$C$44:$L$83,8,FALSE)))</f>
        <v>40</v>
      </c>
      <c r="V164" s="49">
        <f>IF(ISNUMBER(L163),"Kohdetieto",IF(OR(C164=Pudotusvalikot!$D$14,C164=Pudotusvalikot!$D$15),Kalusto!$K$96,VLOOKUP(C164,Kalusto!$C$44:$L$83,9,FALSE)))</f>
        <v>0.8</v>
      </c>
      <c r="W164" s="49" t="str">
        <f>IF(ISNUMBER(L163),"Kohdetieto",IF(OR(C164=Pudotusvalikot!$D$14,C164=Pudotusvalikot!$D$15),Kalusto!$L$96,VLOOKUP(C164,Kalusto!$C$44:$L$83,10,FALSE)))</f>
        <v>maantieajo</v>
      </c>
      <c r="X164" s="50" t="str">
        <f>IF(ISBLANK(C162),"",C162/1000)</f>
        <v/>
      </c>
      <c r="Y164" s="48" t="str">
        <f>IF(ISNUMBER(G163),G163,"")</f>
        <v/>
      </c>
      <c r="Z164" s="51">
        <f>IF(ISNUMBER(L163),L163,K163)</f>
        <v>4.9950000000000001E-2</v>
      </c>
      <c r="AA164" s="36"/>
      <c r="AB164" s="108"/>
      <c r="AC164" s="36"/>
      <c r="AD164" s="36"/>
      <c r="AE164" s="36"/>
      <c r="AF164" s="36"/>
      <c r="AG164" s="36"/>
      <c r="AH164" s="36"/>
      <c r="AI164" s="36"/>
      <c r="AJ164" s="36"/>
      <c r="AK164" s="36"/>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5" x14ac:dyDescent="0.3">
      <c r="B165" s="78" t="s">
        <v>506</v>
      </c>
      <c r="C165" s="160" t="s">
        <v>242</v>
      </c>
      <c r="D165" s="34"/>
      <c r="E165" s="34"/>
      <c r="F165" s="34"/>
      <c r="G165" s="34"/>
      <c r="H165" s="59"/>
      <c r="J165" s="173"/>
      <c r="K165" s="173"/>
      <c r="L165" s="173"/>
      <c r="M165" s="41"/>
      <c r="N165" s="41"/>
      <c r="O165" s="265"/>
      <c r="Q165" s="47"/>
      <c r="R165" s="36"/>
      <c r="S165" s="36"/>
      <c r="T165" s="36"/>
      <c r="U165" s="36"/>
      <c r="V165" s="181"/>
      <c r="W165" s="181"/>
      <c r="X165" s="61"/>
      <c r="Y165" s="36"/>
      <c r="Z165" s="61"/>
      <c r="AA165" s="182"/>
      <c r="AB165" s="61"/>
      <c r="AC165" s="61"/>
      <c r="AD165" s="61"/>
      <c r="AE165" s="61"/>
      <c r="AF165" s="182"/>
      <c r="AG165" s="61"/>
      <c r="AH165" s="36"/>
      <c r="AI165" s="36"/>
      <c r="AJ165" s="36"/>
      <c r="AK165" s="108"/>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5" x14ac:dyDescent="0.3">
      <c r="B166" s="155" t="s">
        <v>542</v>
      </c>
      <c r="C166" s="395" t="s">
        <v>283</v>
      </c>
      <c r="D166" s="395"/>
      <c r="G166" s="156"/>
      <c r="H166" s="84" t="s">
        <v>5</v>
      </c>
      <c r="J166" s="33" t="str">
        <f>IF(C166="Kuljetus","Ei oletusta","Oletus (" &amp; IF(C166="Tiekuljetus",Kalusto!$C$105,IF(C166="Raidekuljetus",Kalusto!$C$106,IF(C166="Laivarahti",Kalusto!$C$107,Kalusto!$C$108))) &amp; ")" )</f>
        <v>Oletus (Puoliperävaunuyhdistelmä, 40 t, 100 % kuorma, maantieajo)</v>
      </c>
      <c r="K166" s="96">
        <f>IF(ISNUMBER(L166),L166,IF(C166=Pudotusvalikot!$N$4,Kalusto!$G$105,IF(C166=Pudotusvalikot!$N$5,Kalusto!$G$106,IF(C166=Pudotusvalikot!$N$6,Kalusto!$G$107,IF(C166=Pudotusvalikot!$N$7,Kalusto!$G$108,Kalusto!$G$105)))))</f>
        <v>4.9950000000000001E-2</v>
      </c>
      <c r="L166" s="40"/>
      <c r="M166" s="41" t="s">
        <v>200</v>
      </c>
      <c r="N166" s="41"/>
      <c r="O166" s="265"/>
      <c r="Q166" s="35"/>
      <c r="R166" s="50" t="str">
        <f>IF(AND(ISNUMBER(G163)*ISNUMBER(C162)),K166*G166*C162,"")</f>
        <v/>
      </c>
      <c r="S166" s="102" t="s">
        <v>172</v>
      </c>
      <c r="T166" s="36"/>
      <c r="U166" s="36"/>
      <c r="V166" s="36"/>
      <c r="W166" s="36"/>
      <c r="X166" s="36"/>
      <c r="Y166" s="36"/>
      <c r="Z166" s="36"/>
      <c r="AA166" s="36"/>
      <c r="AB166" s="108"/>
      <c r="AC166" s="36"/>
      <c r="AD166" s="36"/>
      <c r="AE166" s="36"/>
      <c r="AF166" s="36"/>
      <c r="AG166" s="36"/>
      <c r="AH166" s="36"/>
      <c r="AI166" s="36"/>
      <c r="AJ166" s="36"/>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5" x14ac:dyDescent="0.3">
      <c r="B167" s="155" t="s">
        <v>542</v>
      </c>
      <c r="C167" s="395" t="s">
        <v>284</v>
      </c>
      <c r="D167" s="395"/>
      <c r="G167" s="156"/>
      <c r="H167" s="84" t="s">
        <v>5</v>
      </c>
      <c r="J167" s="33" t="str">
        <f>IF(C167="Kuljetus","Ei oletusta","Oletus (" &amp; IF(C167="Tiekuljetus",Kalusto!$C$105,IF(C167="Raidekuljetus",Kalusto!$C$106,IF(C167="Laivarahti",Kalusto!$C$107,Kalusto!$C$108))) &amp; ")" )</f>
        <v>Oletus (Merikuljetus, konttilaiva, 1000 TEU)</v>
      </c>
      <c r="K167" s="96">
        <f>IF(ISNUMBER(L167),L167,IF(C167=Pudotusvalikot!$N$4,Kalusto!$G$105,IF(C167=Pudotusvalikot!$N$5,Kalusto!$G$106,IF(C167=Pudotusvalikot!$N$6,Kalusto!$G$107,IF(C167=Pudotusvalikot!$N$7,Kalusto!$G$108,"--")))))</f>
        <v>4.4999999999999998E-2</v>
      </c>
      <c r="L167" s="40"/>
      <c r="M167" s="41" t="s">
        <v>200</v>
      </c>
      <c r="N167" s="41"/>
      <c r="O167" s="265"/>
      <c r="Q167" s="35"/>
      <c r="R167" s="50" t="str">
        <f>IF(AND(ISNUMBER(G163)*ISNUMBER(C162)),K167*G167*C162,"")</f>
        <v/>
      </c>
      <c r="S167" s="102" t="s">
        <v>172</v>
      </c>
      <c r="T167" s="36"/>
      <c r="U167" s="36"/>
      <c r="V167" s="36"/>
      <c r="W167" s="36"/>
      <c r="X167" s="36"/>
      <c r="Y167" s="36"/>
      <c r="Z167" s="36"/>
      <c r="AA167" s="36"/>
      <c r="AB167" s="108"/>
      <c r="AC167" s="36"/>
      <c r="AD167" s="36"/>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5" x14ac:dyDescent="0.3">
      <c r="B168" s="155" t="s">
        <v>542</v>
      </c>
      <c r="C168" s="395" t="s">
        <v>283</v>
      </c>
      <c r="D168" s="395"/>
      <c r="G168" s="156"/>
      <c r="H168" s="84" t="s">
        <v>5</v>
      </c>
      <c r="J168" s="33" t="str">
        <f>IF(C168="Kuljetus","Ei oletusta","Oletus (" &amp; IF(C168="Tiekuljetus",Kalusto!$C$105,IF(C168="Raidekuljetus",Kalusto!$C$106,IF(C168="Laivarahti",Kalusto!$C$107,Kalusto!$C$108))) &amp; ")" )</f>
        <v>Oletus (Puoliperävaunuyhdistelmä, 40 t, 100 % kuorma, maantieajo)</v>
      </c>
      <c r="K168" s="96">
        <f>IF(ISNUMBER(L168),L168,IF(C168=Pudotusvalikot!$N$4,Kalusto!$G$105,IF(C168=Pudotusvalikot!$N$5,Kalusto!$G$106,IF(C168=Pudotusvalikot!$N$6,Kalusto!$G$107,IF(C168=Pudotusvalikot!$N$7,Kalusto!$G$108,"--")))))</f>
        <v>4.9950000000000001E-2</v>
      </c>
      <c r="L168" s="40"/>
      <c r="M168" s="41" t="s">
        <v>200</v>
      </c>
      <c r="N168" s="41"/>
      <c r="O168" s="265"/>
      <c r="Q168" s="35"/>
      <c r="R168" s="50" t="str">
        <f>IF(AND(ISNUMBER(G163)*ISNUMBER(C162)),K168*G168*C162,"")</f>
        <v/>
      </c>
      <c r="S168" s="102" t="s">
        <v>172</v>
      </c>
      <c r="T168" s="36"/>
      <c r="U168" s="36"/>
      <c r="V168" s="36"/>
      <c r="W168" s="36"/>
      <c r="X168" s="36"/>
      <c r="Y168" s="36"/>
      <c r="Z168" s="36"/>
      <c r="AA168" s="36"/>
      <c r="AB168" s="108"/>
      <c r="AC168" s="36"/>
      <c r="AD168" s="36"/>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5" x14ac:dyDescent="0.3">
      <c r="B169" s="9" t="str">
        <f>B138</f>
        <v>Kemikaali-, tuote- tai materiaalilaji 3</v>
      </c>
      <c r="C169" s="34"/>
      <c r="D169" s="84"/>
      <c r="G169" s="72"/>
      <c r="H169" s="84"/>
      <c r="J169" s="33"/>
      <c r="K169" s="34"/>
      <c r="L169" s="34"/>
      <c r="M169" s="84"/>
      <c r="N169" s="84"/>
      <c r="O169" s="100"/>
      <c r="Q169" s="35"/>
      <c r="R169" s="36" t="s">
        <v>350</v>
      </c>
      <c r="S169" s="36"/>
      <c r="T169" s="36"/>
      <c r="U169" s="36"/>
      <c r="V169" s="36"/>
      <c r="W169" s="36"/>
      <c r="X169" s="36"/>
      <c r="Y169" s="36"/>
      <c r="Z169" s="36"/>
      <c r="AA169" s="36"/>
      <c r="AB169" s="108"/>
      <c r="AC169" s="36"/>
      <c r="AD169" s="36"/>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15.5" x14ac:dyDescent="0.3">
      <c r="B170" s="54" t="s">
        <v>375</v>
      </c>
      <c r="C170" s="160"/>
      <c r="D170" s="84" t="s">
        <v>281</v>
      </c>
      <c r="G170" s="34"/>
      <c r="H170" s="84"/>
      <c r="J170" s="33"/>
      <c r="K170" s="38" t="s">
        <v>329</v>
      </c>
      <c r="L170" s="38" t="s">
        <v>201</v>
      </c>
      <c r="M170" s="84"/>
      <c r="N170" s="84"/>
      <c r="O170" s="100"/>
      <c r="Q170" s="35"/>
      <c r="R170" s="50" t="str">
        <f>IF(AND(ISNUMBER(G171),ISNUMBER(C170)),SUM(R171,R174:R176),"")</f>
        <v/>
      </c>
      <c r="S170" s="102" t="s">
        <v>172</v>
      </c>
      <c r="T170" s="36"/>
      <c r="U170" s="36"/>
      <c r="V170" s="36"/>
      <c r="W170" s="36"/>
      <c r="X170" s="36"/>
      <c r="Y170" s="36"/>
      <c r="Z170" s="36"/>
      <c r="AA170" s="36"/>
      <c r="AB170" s="108"/>
      <c r="AC170" s="36"/>
      <c r="AD170" s="36"/>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46.5" x14ac:dyDescent="0.3">
      <c r="B171" s="155" t="s">
        <v>728</v>
      </c>
      <c r="C171" s="396" t="s">
        <v>283</v>
      </c>
      <c r="D171" s="397"/>
      <c r="G171" s="156"/>
      <c r="H171" s="84" t="s">
        <v>5</v>
      </c>
      <c r="J171" s="173" t="s">
        <v>441</v>
      </c>
      <c r="K171" s="96">
        <f>IF(ISNUMBER(L171),L171,IF(C171=Pudotusvalikot!$N$4,Kalusto!$G$105,IF(C171=Pudotusvalikot!$N$5,Kalusto!$G$106,IF(C171=Pudotusvalikot!$N$6,Kalusto!$G$107,IF(C171=Pudotusvalikot!$N$7,Kalusto!$G$108,Kalusto!$G$105))))*IF(OR(C173=Pudotusvalikot!$V$3,C173=Pudotusvalikot!$V$4),Muut!$E$38,IF(C173=Pudotusvalikot!$V$5,Muut!$E$39,IF(C173=Pudotusvalikot!$V$6,Muut!$E$40,Muut!$E$41))))</f>
        <v>4.9950000000000001E-2</v>
      </c>
      <c r="L171" s="40"/>
      <c r="M171" s="41" t="s">
        <v>200</v>
      </c>
      <c r="N171" s="41"/>
      <c r="O171" s="265"/>
      <c r="Q171" s="35"/>
      <c r="R171" s="50" t="str">
        <f>IF(ISNUMBER(Y172*X172*K171),Y172*X172*K171,"")</f>
        <v/>
      </c>
      <c r="S171" s="102" t="s">
        <v>172</v>
      </c>
      <c r="T171" s="36" t="s">
        <v>446</v>
      </c>
      <c r="U171" s="36" t="s">
        <v>384</v>
      </c>
      <c r="V171" s="44" t="s">
        <v>443</v>
      </c>
      <c r="W171" s="36" t="s">
        <v>444</v>
      </c>
      <c r="X171" s="44" t="s">
        <v>447</v>
      </c>
      <c r="Y171" s="44" t="s">
        <v>449</v>
      </c>
      <c r="Z171" s="44" t="s">
        <v>374</v>
      </c>
      <c r="AA171" s="36"/>
      <c r="AB171" s="108"/>
      <c r="AC171" s="36"/>
      <c r="AD171" s="36"/>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5" x14ac:dyDescent="0.3">
      <c r="B172" s="78" t="s">
        <v>377</v>
      </c>
      <c r="C172" s="392" t="s">
        <v>93</v>
      </c>
      <c r="D172" s="393"/>
      <c r="E172" s="393"/>
      <c r="F172" s="393"/>
      <c r="G172" s="394"/>
      <c r="H172" s="46" t="s">
        <v>203</v>
      </c>
      <c r="J172" s="33"/>
      <c r="K172" s="38" t="s">
        <v>329</v>
      </c>
      <c r="L172" s="38" t="s">
        <v>201</v>
      </c>
      <c r="M172" s="41"/>
      <c r="N172" s="41"/>
      <c r="O172" s="265"/>
      <c r="Q172" s="47"/>
      <c r="R172" s="108"/>
      <c r="S172" s="36"/>
      <c r="T172" s="48" t="str">
        <f>IF(ISNUMBER(L171),"Kohdetieto",IF(OR(C172=Pudotusvalikot!$D$14,C172=Pudotusvalikot!$D$15),Kalusto!$I$96,VLOOKUP(C172,Kalusto!$C$44:$L$83,7,FALSE)))</f>
        <v>Puoliperävaunu</v>
      </c>
      <c r="U172" s="48">
        <f>IF(ISNUMBER(L171),"Kohdetieto",IF(OR(C172=Pudotusvalikot!$D$14,C172=Pudotusvalikot!$D$15),Kalusto!$J$96,VLOOKUP(C172,Kalusto!$C$44:$L$83,8,FALSE)))</f>
        <v>40</v>
      </c>
      <c r="V172" s="49">
        <f>IF(ISNUMBER(L171),"Kohdetieto",IF(OR(C172=Pudotusvalikot!$D$14,C172=Pudotusvalikot!$D$15),Kalusto!$K$96,VLOOKUP(C172,Kalusto!$C$44:$L$83,9,FALSE)))</f>
        <v>0.8</v>
      </c>
      <c r="W172" s="49" t="str">
        <f>IF(ISNUMBER(L171),"Kohdetieto",IF(OR(C172=Pudotusvalikot!$D$14,C172=Pudotusvalikot!$D$15),Kalusto!$L$96,VLOOKUP(C172,Kalusto!$C$44:$L$83,10,FALSE)))</f>
        <v>maantieajo</v>
      </c>
      <c r="X172" s="50" t="str">
        <f>IF(ISBLANK(C170),"",C170/1000)</f>
        <v/>
      </c>
      <c r="Y172" s="48" t="str">
        <f>IF(ISNUMBER(G171),G171,"")</f>
        <v/>
      </c>
      <c r="Z172" s="51">
        <f>IF(ISNUMBER(L171),L171,K171)</f>
        <v>4.9950000000000001E-2</v>
      </c>
      <c r="AA172" s="36"/>
      <c r="AB172" s="108"/>
      <c r="AC172" s="36"/>
      <c r="AD172" s="36"/>
      <c r="AE172" s="36"/>
      <c r="AF172" s="36"/>
      <c r="AG172" s="36"/>
      <c r="AH172" s="36"/>
      <c r="AI172" s="36"/>
      <c r="AJ172" s="36"/>
      <c r="AK172" s="36"/>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5" x14ac:dyDescent="0.3">
      <c r="B173" s="78" t="s">
        <v>506</v>
      </c>
      <c r="C173" s="160" t="s">
        <v>242</v>
      </c>
      <c r="D173" s="34"/>
      <c r="E173" s="34"/>
      <c r="F173" s="34"/>
      <c r="G173" s="34"/>
      <c r="H173" s="59"/>
      <c r="J173" s="173"/>
      <c r="K173" s="173"/>
      <c r="L173" s="173"/>
      <c r="M173" s="41"/>
      <c r="N173" s="41"/>
      <c r="O173" s="265"/>
      <c r="Q173" s="47"/>
      <c r="R173" s="36"/>
      <c r="S173" s="36"/>
      <c r="T173" s="36"/>
      <c r="U173" s="36"/>
      <c r="V173" s="181"/>
      <c r="W173" s="181"/>
      <c r="X173" s="61"/>
      <c r="Y173" s="36"/>
      <c r="Z173" s="61"/>
      <c r="AA173" s="182"/>
      <c r="AB173" s="61"/>
      <c r="AC173" s="61"/>
      <c r="AD173" s="61"/>
      <c r="AE173" s="61"/>
      <c r="AF173" s="182"/>
      <c r="AG173" s="61"/>
      <c r="AH173" s="36"/>
      <c r="AI173" s="36"/>
      <c r="AJ173" s="36"/>
      <c r="AK173" s="108"/>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5" x14ac:dyDescent="0.3">
      <c r="B174" s="155" t="s">
        <v>542</v>
      </c>
      <c r="C174" s="395" t="s">
        <v>283</v>
      </c>
      <c r="D174" s="395"/>
      <c r="G174" s="156"/>
      <c r="H174" s="84" t="s">
        <v>5</v>
      </c>
      <c r="J174" s="33" t="str">
        <f>IF(C174="Kuljetus","Ei oletusta","Oletus (" &amp; IF(C174="Tiekuljetus",Kalusto!$C$105,IF(C174="Raidekuljetus",Kalusto!$C$106,IF(C174="Laivarahti",Kalusto!$C$107,Kalusto!$C$108))) &amp; ")" )</f>
        <v>Oletus (Puoliperävaunuyhdistelmä, 40 t, 100 % kuorma, maantieajo)</v>
      </c>
      <c r="K174" s="96">
        <f>IF(ISNUMBER(L174),L174,IF(C174=Pudotusvalikot!$N$4,Kalusto!$G$105,IF(C174=Pudotusvalikot!$N$5,Kalusto!$G$106,IF(C174=Pudotusvalikot!$N$6,Kalusto!$G$107,IF(C174=Pudotusvalikot!$N$7,Kalusto!$G$108,Kalusto!$G$105)))))</f>
        <v>4.9950000000000001E-2</v>
      </c>
      <c r="L174" s="40"/>
      <c r="M174" s="41" t="s">
        <v>200</v>
      </c>
      <c r="N174" s="41"/>
      <c r="O174" s="265"/>
      <c r="Q174" s="35"/>
      <c r="R174" s="50" t="str">
        <f>IF(AND(ISNUMBER(G171)*ISNUMBER(C170)),K174*G174*C170,"")</f>
        <v/>
      </c>
      <c r="S174" s="102" t="s">
        <v>172</v>
      </c>
      <c r="T174" s="36"/>
      <c r="U174" s="36"/>
      <c r="V174" s="36"/>
      <c r="W174" s="36"/>
      <c r="X174" s="36"/>
      <c r="Y174" s="36"/>
      <c r="Z174" s="36"/>
      <c r="AA174" s="36"/>
      <c r="AB174" s="108"/>
      <c r="AC174" s="36"/>
      <c r="AD174" s="36"/>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5" x14ac:dyDescent="0.3">
      <c r="B175" s="155" t="s">
        <v>542</v>
      </c>
      <c r="C175" s="395" t="s">
        <v>284</v>
      </c>
      <c r="D175" s="395"/>
      <c r="G175" s="156"/>
      <c r="H175" s="84" t="s">
        <v>5</v>
      </c>
      <c r="J175" s="33" t="str">
        <f>IF(C175="Kuljetus","Ei oletusta","Oletus (" &amp; IF(C175="Tiekuljetus",Kalusto!$C$105,IF(C175="Raidekuljetus",Kalusto!$C$106,IF(C175="Laivarahti",Kalusto!$C$107,Kalusto!$C$108))) &amp; ")" )</f>
        <v>Oletus (Merikuljetus, konttilaiva, 1000 TEU)</v>
      </c>
      <c r="K175" s="96">
        <f>IF(ISNUMBER(L175),L175,IF(C175=Pudotusvalikot!$N$4,Kalusto!$G$105,IF(C175=Pudotusvalikot!$N$5,Kalusto!$G$106,IF(C175=Pudotusvalikot!$N$6,Kalusto!$G$107,IF(C175=Pudotusvalikot!$N$7,Kalusto!$G$108,"--")))))</f>
        <v>4.4999999999999998E-2</v>
      </c>
      <c r="L175" s="40"/>
      <c r="M175" s="41" t="s">
        <v>200</v>
      </c>
      <c r="N175" s="41"/>
      <c r="O175" s="265"/>
      <c r="Q175" s="35"/>
      <c r="R175" s="50" t="str">
        <f>IF(AND(ISNUMBER(G171)*ISNUMBER(C170)),K175*G175*C170,"")</f>
        <v/>
      </c>
      <c r="S175" s="102" t="s">
        <v>172</v>
      </c>
      <c r="T175" s="36"/>
      <c r="U175" s="36"/>
      <c r="V175" s="36"/>
      <c r="W175" s="36"/>
      <c r="X175" s="36"/>
      <c r="Y175" s="36"/>
      <c r="Z175" s="36"/>
      <c r="AA175" s="36"/>
      <c r="AB175" s="108"/>
      <c r="AC175" s="36"/>
      <c r="AD175" s="36"/>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5" x14ac:dyDescent="0.3">
      <c r="B176" s="155" t="s">
        <v>542</v>
      </c>
      <c r="C176" s="395" t="s">
        <v>283</v>
      </c>
      <c r="D176" s="395"/>
      <c r="G176" s="156"/>
      <c r="H176" s="84" t="s">
        <v>5</v>
      </c>
      <c r="J176" s="33" t="str">
        <f>IF(C176="Kuljetus","Ei oletusta","Oletus (" &amp; IF(C176="Tiekuljetus",Kalusto!$C$105,IF(C176="Raidekuljetus",Kalusto!$C$106,IF(C176="Laivarahti",Kalusto!$C$107,Kalusto!$C$108))) &amp; ")" )</f>
        <v>Oletus (Puoliperävaunuyhdistelmä, 40 t, 100 % kuorma, maantieajo)</v>
      </c>
      <c r="K176" s="96">
        <f>IF(ISNUMBER(L176),L176,IF(C176=Pudotusvalikot!$N$4,Kalusto!$G$105,IF(C176=Pudotusvalikot!$N$5,Kalusto!$G$106,IF(C176=Pudotusvalikot!$N$6,Kalusto!$G$107,IF(C176=Pudotusvalikot!$N$7,Kalusto!$G$108,"--")))))</f>
        <v>4.9950000000000001E-2</v>
      </c>
      <c r="L176" s="40"/>
      <c r="M176" s="41" t="s">
        <v>200</v>
      </c>
      <c r="N176" s="41"/>
      <c r="O176" s="265"/>
      <c r="Q176" s="35"/>
      <c r="R176" s="50" t="str">
        <f>IF(AND(ISNUMBER(G171)*ISNUMBER(C170)),K176*G176*C170,"")</f>
        <v/>
      </c>
      <c r="S176" s="102" t="s">
        <v>172</v>
      </c>
      <c r="T176" s="36"/>
      <c r="U176" s="36"/>
      <c r="V176" s="36"/>
      <c r="W176" s="36"/>
      <c r="X176" s="36"/>
      <c r="Y176" s="36"/>
      <c r="Z176" s="36"/>
      <c r="AA176" s="36"/>
      <c r="AB176" s="108"/>
      <c r="AC176" s="36"/>
      <c r="AD176" s="36"/>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7" s="31" customFormat="1" ht="15.5" x14ac:dyDescent="0.3">
      <c r="B177" s="9" t="str">
        <f>B141</f>
        <v>Kemikaali-, tuote- tai materiaalilaji 4</v>
      </c>
      <c r="C177" s="34"/>
      <c r="D177" s="84"/>
      <c r="G177" s="72"/>
      <c r="H177" s="84"/>
      <c r="J177" s="33"/>
      <c r="K177" s="34"/>
      <c r="L177" s="34"/>
      <c r="M177" s="84"/>
      <c r="N177" s="84"/>
      <c r="O177" s="100"/>
      <c r="Q177" s="35"/>
      <c r="R177" s="36" t="s">
        <v>350</v>
      </c>
      <c r="S177" s="36"/>
      <c r="T177" s="36"/>
      <c r="U177" s="36"/>
      <c r="V177" s="36"/>
      <c r="W177" s="36"/>
      <c r="X177" s="36"/>
      <c r="Y177" s="36"/>
      <c r="Z177" s="36"/>
      <c r="AA177" s="36"/>
      <c r="AB177" s="108"/>
      <c r="AC177" s="36"/>
      <c r="AD177" s="36"/>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7" s="31" customFormat="1" ht="15.5" x14ac:dyDescent="0.3">
      <c r="B178" s="54" t="s">
        <v>375</v>
      </c>
      <c r="C178" s="160"/>
      <c r="D178" s="84" t="s">
        <v>281</v>
      </c>
      <c r="G178" s="34"/>
      <c r="H178" s="84"/>
      <c r="J178" s="33"/>
      <c r="K178" s="38" t="s">
        <v>329</v>
      </c>
      <c r="L178" s="38" t="s">
        <v>201</v>
      </c>
      <c r="M178" s="84"/>
      <c r="N178" s="84"/>
      <c r="O178" s="100"/>
      <c r="Q178" s="35"/>
      <c r="R178" s="50" t="str">
        <f>IF(AND(ISNUMBER(G179),ISNUMBER(C178)),SUM(R179,R182:R184),"")</f>
        <v/>
      </c>
      <c r="S178" s="102" t="s">
        <v>172</v>
      </c>
      <c r="T178" s="36"/>
      <c r="U178" s="36"/>
      <c r="V178" s="36"/>
      <c r="W178" s="36"/>
      <c r="X178" s="36"/>
      <c r="Y178" s="36"/>
      <c r="Z178" s="36"/>
      <c r="AA178" s="36"/>
      <c r="AB178" s="108"/>
      <c r="AC178" s="36"/>
      <c r="AD178" s="36"/>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7" s="31" customFormat="1" ht="46.5" x14ac:dyDescent="0.3">
      <c r="B179" s="155" t="s">
        <v>728</v>
      </c>
      <c r="C179" s="396" t="s">
        <v>283</v>
      </c>
      <c r="D179" s="397"/>
      <c r="G179" s="156"/>
      <c r="H179" s="84" t="s">
        <v>5</v>
      </c>
      <c r="J179" s="173" t="s">
        <v>441</v>
      </c>
      <c r="K179" s="96">
        <f>IF(ISNUMBER(L179),L179,IF(C179=Pudotusvalikot!$N$4,Kalusto!$G$105,IF(C179=Pudotusvalikot!$N$5,Kalusto!$G$106,IF(C179=Pudotusvalikot!$N$6,Kalusto!$G$107,IF(C179=Pudotusvalikot!$N$7,Kalusto!$G$108,Kalusto!$G$105))))*IF(OR(C181=Pudotusvalikot!$V$3,C181=Pudotusvalikot!$V$4),Muut!$E$38,IF(C181=Pudotusvalikot!$V$5,Muut!$E$39,IF(C181=Pudotusvalikot!$V$6,Muut!$E$40,Muut!$E$41))))</f>
        <v>4.9950000000000001E-2</v>
      </c>
      <c r="L179" s="40"/>
      <c r="M179" s="41" t="s">
        <v>200</v>
      </c>
      <c r="N179" s="41"/>
      <c r="O179" s="265"/>
      <c r="Q179" s="35"/>
      <c r="R179" s="50" t="str">
        <f>IF(ISNUMBER(Y180*X180*K179),Y180*X180*K179,"")</f>
        <v/>
      </c>
      <c r="S179" s="102" t="s">
        <v>172</v>
      </c>
      <c r="T179" s="36" t="s">
        <v>446</v>
      </c>
      <c r="U179" s="36" t="s">
        <v>384</v>
      </c>
      <c r="V179" s="44" t="s">
        <v>443</v>
      </c>
      <c r="W179" s="36" t="s">
        <v>444</v>
      </c>
      <c r="X179" s="44" t="s">
        <v>447</v>
      </c>
      <c r="Y179" s="44" t="s">
        <v>449</v>
      </c>
      <c r="Z179" s="44" t="s">
        <v>374</v>
      </c>
      <c r="AA179" s="36"/>
      <c r="AB179" s="108"/>
      <c r="AC179" s="36"/>
      <c r="AD179" s="36"/>
      <c r="AE179" s="36"/>
      <c r="AF179" s="36"/>
      <c r="AG179" s="36"/>
      <c r="AH179" s="36"/>
      <c r="AI179" s="36"/>
      <c r="AJ179" s="36"/>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7" s="31" customFormat="1" ht="15.5" x14ac:dyDescent="0.3">
      <c r="B180" s="78" t="s">
        <v>377</v>
      </c>
      <c r="C180" s="392" t="s">
        <v>93</v>
      </c>
      <c r="D180" s="393"/>
      <c r="E180" s="393"/>
      <c r="F180" s="393"/>
      <c r="G180" s="394"/>
      <c r="J180" s="33"/>
      <c r="K180" s="38" t="s">
        <v>329</v>
      </c>
      <c r="L180" s="38" t="s">
        <v>201</v>
      </c>
      <c r="M180" s="41"/>
      <c r="N180" s="41"/>
      <c r="O180" s="265"/>
      <c r="Q180" s="47"/>
      <c r="R180" s="108"/>
      <c r="S180" s="36"/>
      <c r="T180" s="48" t="str">
        <f>IF(ISNUMBER(L179),"Kohdetieto",IF(OR(C180=Pudotusvalikot!$D$14,C180=Pudotusvalikot!$D$15),Kalusto!$I$96,VLOOKUP(C180,Kalusto!$C$44:$L$83,7,FALSE)))</f>
        <v>Puoliperävaunu</v>
      </c>
      <c r="U180" s="48">
        <f>IF(ISNUMBER(L179),"Kohdetieto",IF(OR(C180=Pudotusvalikot!$D$14,C180=Pudotusvalikot!$D$15),Kalusto!$J$96,VLOOKUP(C180,Kalusto!$C$44:$L$83,8,FALSE)))</f>
        <v>40</v>
      </c>
      <c r="V180" s="49">
        <f>IF(ISNUMBER(L179),"Kohdetieto",IF(OR(C180=Pudotusvalikot!$D$14,C180=Pudotusvalikot!$D$15),Kalusto!$K$96,VLOOKUP(C180,Kalusto!$C$44:$L$83,9,FALSE)))</f>
        <v>0.8</v>
      </c>
      <c r="W180" s="49" t="str">
        <f>IF(ISNUMBER(L179),"Kohdetieto",IF(OR(C180=Pudotusvalikot!$D$14,C180=Pudotusvalikot!$D$15),Kalusto!$L$96,VLOOKUP(C180,Kalusto!$C$44:$L$83,10,FALSE)))</f>
        <v>maantieajo</v>
      </c>
      <c r="X180" s="50" t="str">
        <f>IF(ISBLANK(C178),"",C178/1000)</f>
        <v/>
      </c>
      <c r="Y180" s="48" t="str">
        <f>IF(ISNUMBER(G179),G179,"")</f>
        <v/>
      </c>
      <c r="Z180" s="51">
        <f>IF(ISNUMBER(L179),L179,K179)</f>
        <v>4.9950000000000001E-2</v>
      </c>
      <c r="AA180" s="36"/>
      <c r="AB180" s="108"/>
      <c r="AC180" s="36"/>
      <c r="AD180" s="36"/>
      <c r="AE180" s="36"/>
      <c r="AF180" s="36"/>
      <c r="AG180" s="36"/>
      <c r="AH180" s="36"/>
      <c r="AI180" s="36"/>
      <c r="AJ180" s="36"/>
      <c r="AK180" s="36"/>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7" s="31" customFormat="1" ht="15.5" x14ac:dyDescent="0.3">
      <c r="B181" s="78" t="s">
        <v>506</v>
      </c>
      <c r="C181" s="160" t="s">
        <v>242</v>
      </c>
      <c r="D181" s="34"/>
      <c r="E181" s="34"/>
      <c r="F181" s="34"/>
      <c r="G181" s="34"/>
      <c r="H181" s="59"/>
      <c r="J181" s="173"/>
      <c r="K181" s="173"/>
      <c r="L181" s="173"/>
      <c r="M181" s="41"/>
      <c r="N181" s="41"/>
      <c r="O181" s="265"/>
      <c r="Q181" s="47"/>
      <c r="R181" s="36"/>
      <c r="S181" s="36"/>
      <c r="T181" s="36"/>
      <c r="U181" s="36"/>
      <c r="V181" s="181"/>
      <c r="W181" s="181"/>
      <c r="X181" s="61"/>
      <c r="Y181" s="36"/>
      <c r="Z181" s="61"/>
      <c r="AA181" s="182"/>
      <c r="AB181" s="61"/>
      <c r="AC181" s="61"/>
      <c r="AD181" s="61"/>
      <c r="AE181" s="61"/>
      <c r="AF181" s="182"/>
      <c r="AG181" s="61"/>
      <c r="AH181" s="36"/>
      <c r="AI181" s="36"/>
      <c r="AJ181" s="36"/>
      <c r="AK181" s="108"/>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7" s="31" customFormat="1" ht="15.5" x14ac:dyDescent="0.3">
      <c r="B182" s="155" t="s">
        <v>543</v>
      </c>
      <c r="C182" s="395" t="s">
        <v>283</v>
      </c>
      <c r="D182" s="395"/>
      <c r="G182" s="156"/>
      <c r="H182" s="84" t="s">
        <v>5</v>
      </c>
      <c r="J182" s="33" t="str">
        <f>IF(C182="Kuljetus","Ei oletusta","Oletus (" &amp; IF(C182="Tiekuljetus",Kalusto!$C$105,IF(C182="Raidekuljetus",Kalusto!$C$106,IF(C182="Laivarahti",Kalusto!$C$107,Kalusto!$C$108))) &amp; ")" )</f>
        <v>Oletus (Puoliperävaunuyhdistelmä, 40 t, 100 % kuorma, maantieajo)</v>
      </c>
      <c r="K182" s="96">
        <f>IF(ISNUMBER(L182),L182,IF(C182=Pudotusvalikot!$N$4,Kalusto!$G$105,IF(C182=Pudotusvalikot!$N$5,Kalusto!$G$106,IF(C182=Pudotusvalikot!$N$6,Kalusto!$G$107,IF(C182=Pudotusvalikot!$N$7,Kalusto!$G$108,Kalusto!$G$105)))))</f>
        <v>4.9950000000000001E-2</v>
      </c>
      <c r="L182" s="40"/>
      <c r="M182" s="41" t="s">
        <v>200</v>
      </c>
      <c r="N182" s="41"/>
      <c r="O182" s="265"/>
      <c r="Q182" s="35"/>
      <c r="R182" s="50" t="str">
        <f>IF(AND(ISNUMBER(G179)*ISNUMBER(C178)),K182*G182*C178,"")</f>
        <v/>
      </c>
      <c r="S182" s="102" t="s">
        <v>172</v>
      </c>
      <c r="T182" s="36"/>
      <c r="U182" s="36"/>
      <c r="V182" s="36"/>
      <c r="W182" s="36"/>
      <c r="X182" s="36"/>
      <c r="Y182" s="36"/>
      <c r="Z182" s="36"/>
      <c r="AA182" s="36"/>
      <c r="AB182" s="108"/>
      <c r="AC182" s="36"/>
      <c r="AD182" s="36"/>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7" s="31" customFormat="1" ht="15.5" x14ac:dyDescent="0.3">
      <c r="B183" s="155" t="s">
        <v>543</v>
      </c>
      <c r="C183" s="395" t="s">
        <v>284</v>
      </c>
      <c r="D183" s="395"/>
      <c r="G183" s="156"/>
      <c r="H183" s="84" t="s">
        <v>5</v>
      </c>
      <c r="J183" s="33" t="str">
        <f>IF(C183="Kuljetus","Ei oletusta","Oletus (" &amp; IF(C183="Tiekuljetus",Kalusto!$C$105,IF(C183="Raidekuljetus",Kalusto!$C$106,IF(C183="Laivarahti",Kalusto!$C$107,Kalusto!$C$108))) &amp; ")" )</f>
        <v>Oletus (Merikuljetus, konttilaiva, 1000 TEU)</v>
      </c>
      <c r="K183" s="96">
        <f>IF(ISNUMBER(L183),L183,IF(C183=Pudotusvalikot!$N$4,Kalusto!$G$105,IF(C183=Pudotusvalikot!$N$5,Kalusto!$G$106,IF(C183=Pudotusvalikot!$N$6,Kalusto!$G$107,IF(C183=Pudotusvalikot!$N$7,Kalusto!$G$108,"--")))))</f>
        <v>4.4999999999999998E-2</v>
      </c>
      <c r="L183" s="40"/>
      <c r="M183" s="41" t="s">
        <v>200</v>
      </c>
      <c r="N183" s="41"/>
      <c r="O183" s="265"/>
      <c r="Q183" s="35"/>
      <c r="R183" s="50" t="str">
        <f>IF(AND(ISNUMBER(G179)*ISNUMBER(C178)),K183*G183*C178,"")</f>
        <v/>
      </c>
      <c r="S183" s="102" t="s">
        <v>172</v>
      </c>
      <c r="T183" s="36"/>
      <c r="U183" s="36"/>
      <c r="V183" s="36"/>
      <c r="W183" s="36"/>
      <c r="X183" s="36"/>
      <c r="Y183" s="36"/>
      <c r="Z183" s="36"/>
      <c r="AA183" s="36"/>
      <c r="AB183" s="108"/>
      <c r="AC183" s="36"/>
      <c r="AD183" s="36"/>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7" s="31" customFormat="1" ht="15.5" x14ac:dyDescent="0.3">
      <c r="B184" s="155" t="s">
        <v>543</v>
      </c>
      <c r="C184" s="395" t="s">
        <v>283</v>
      </c>
      <c r="D184" s="395"/>
      <c r="G184" s="156"/>
      <c r="H184" s="84" t="s">
        <v>5</v>
      </c>
      <c r="J184" s="33" t="str">
        <f>IF(C184="Kuljetus","Ei oletusta","Oletus (" &amp; IF(C184="Tiekuljetus",Kalusto!$C$105,IF(C184="Raidekuljetus",Kalusto!$C$106,IF(C184="Laivarahti",Kalusto!$C$107,Kalusto!$C$108))) &amp; ")" )</f>
        <v>Oletus (Puoliperävaunuyhdistelmä, 40 t, 100 % kuorma, maantieajo)</v>
      </c>
      <c r="K184" s="96">
        <f>IF(ISNUMBER(L184),L184,IF(C184=Pudotusvalikot!$N$4,Kalusto!$G$105,IF(C184=Pudotusvalikot!$N$5,Kalusto!$G$106,IF(C184=Pudotusvalikot!$N$6,Kalusto!$G$107,IF(C184=Pudotusvalikot!$N$7,Kalusto!$G$108,"--")))))</f>
        <v>4.9950000000000001E-2</v>
      </c>
      <c r="L184" s="40"/>
      <c r="M184" s="41" t="s">
        <v>200</v>
      </c>
      <c r="N184" s="41"/>
      <c r="O184" s="265"/>
      <c r="Q184" s="35"/>
      <c r="R184" s="50" t="str">
        <f>IF(AND(ISNUMBER(G179)*ISNUMBER(C178)),K184*G184*C178,"")</f>
        <v/>
      </c>
      <c r="S184" s="102" t="s">
        <v>172</v>
      </c>
      <c r="T184" s="36"/>
      <c r="U184" s="36"/>
      <c r="V184" s="36"/>
      <c r="W184" s="36"/>
      <c r="X184" s="36"/>
      <c r="Y184" s="36"/>
      <c r="Z184" s="36"/>
      <c r="AA184" s="36"/>
      <c r="AB184" s="108"/>
      <c r="AC184" s="36"/>
      <c r="AD184" s="36"/>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7" s="31" customFormat="1" ht="15.5" x14ac:dyDescent="0.3">
      <c r="B185" s="9" t="str">
        <f>B144</f>
        <v>Kemikaali-, tuote- tai materiaalilaji 5</v>
      </c>
      <c r="C185" s="34"/>
      <c r="D185" s="84"/>
      <c r="G185" s="72"/>
      <c r="H185" s="84"/>
      <c r="J185" s="33"/>
      <c r="K185" s="34"/>
      <c r="L185" s="34"/>
      <c r="M185" s="84"/>
      <c r="N185" s="84"/>
      <c r="O185" s="100"/>
      <c r="Q185" s="35"/>
      <c r="R185" s="36" t="s">
        <v>350</v>
      </c>
      <c r="S185" s="36"/>
      <c r="T185" s="36"/>
      <c r="U185" s="36"/>
      <c r="V185" s="36"/>
      <c r="W185" s="36"/>
      <c r="X185" s="36"/>
      <c r="Y185" s="36"/>
      <c r="Z185" s="36"/>
      <c r="AA185" s="36"/>
      <c r="AB185" s="108"/>
      <c r="AC185" s="36"/>
      <c r="AD185" s="36"/>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7" s="31" customFormat="1" ht="15.5" x14ac:dyDescent="0.3">
      <c r="B186" s="54" t="s">
        <v>286</v>
      </c>
      <c r="C186" s="160"/>
      <c r="D186" s="84" t="s">
        <v>281</v>
      </c>
      <c r="G186" s="34"/>
      <c r="H186" s="84"/>
      <c r="J186" s="33"/>
      <c r="K186" s="38" t="s">
        <v>329</v>
      </c>
      <c r="L186" s="38" t="s">
        <v>201</v>
      </c>
      <c r="M186" s="84"/>
      <c r="N186" s="84"/>
      <c r="O186" s="100"/>
      <c r="Q186" s="35"/>
      <c r="R186" s="50" t="str">
        <f>IF(AND(ISNUMBER(G187),ISNUMBER(C186)),SUM(R187,R190:R192),"")</f>
        <v/>
      </c>
      <c r="S186" s="102" t="s">
        <v>172</v>
      </c>
      <c r="T186" s="36"/>
      <c r="U186" s="36"/>
      <c r="V186" s="36"/>
      <c r="W186" s="36"/>
      <c r="X186" s="36"/>
      <c r="Y186" s="36"/>
      <c r="Z186" s="36"/>
      <c r="AA186" s="36"/>
      <c r="AB186" s="108"/>
      <c r="AC186" s="36"/>
      <c r="AD186" s="36"/>
      <c r="AE186" s="36"/>
      <c r="AF186" s="36"/>
      <c r="AG186" s="36"/>
      <c r="AH186" s="36"/>
      <c r="AI186" s="36"/>
      <c r="AJ186" s="36"/>
      <c r="AK186" s="36"/>
      <c r="AL186" s="36"/>
      <c r="AM186" s="36"/>
      <c r="AN186" s="37"/>
      <c r="AO186" s="37"/>
      <c r="AP186" s="37"/>
      <c r="AQ186" s="37"/>
      <c r="AR186" s="37"/>
      <c r="AS186" s="37"/>
      <c r="AT186" s="37"/>
      <c r="AU186" s="37"/>
      <c r="AV186" s="37"/>
      <c r="AW186" s="37"/>
      <c r="AX186" s="37"/>
      <c r="AY186" s="37"/>
      <c r="AZ186" s="37"/>
      <c r="BA186" s="37"/>
      <c r="BB186" s="37"/>
      <c r="BC186" s="37"/>
      <c r="BD186" s="37"/>
      <c r="BE186" s="37"/>
    </row>
    <row r="187" spans="2:57" s="31" customFormat="1" ht="46.5" x14ac:dyDescent="0.3">
      <c r="B187" s="155" t="s">
        <v>728</v>
      </c>
      <c r="C187" s="396" t="s">
        <v>283</v>
      </c>
      <c r="D187" s="397"/>
      <c r="G187" s="156"/>
      <c r="H187" s="84" t="s">
        <v>5</v>
      </c>
      <c r="J187" s="173" t="s">
        <v>441</v>
      </c>
      <c r="K187" s="96">
        <f>IF(ISNUMBER(L187),L187,IF(C187=Pudotusvalikot!$N$4,Kalusto!$G$105,IF(C187=Pudotusvalikot!$N$5,Kalusto!$G$106,IF(C187=Pudotusvalikot!$N$6,Kalusto!$G$107,IF(C187=Pudotusvalikot!$N$7,Kalusto!$G$108,Kalusto!$G$105))))*IF(OR(C189=Pudotusvalikot!$V$3,C189=Pudotusvalikot!$V$4),Muut!$E$38,IF(C189=Pudotusvalikot!$V$5,Muut!$E$39,IF(C189=Pudotusvalikot!$V$6,Muut!$E$40,Muut!$E$41))))</f>
        <v>4.9950000000000001E-2</v>
      </c>
      <c r="L187" s="40"/>
      <c r="M187" s="41" t="s">
        <v>200</v>
      </c>
      <c r="N187" s="41"/>
      <c r="O187" s="265"/>
      <c r="Q187" s="35"/>
      <c r="R187" s="50" t="str">
        <f>IF(ISNUMBER(Y188*X188*K187),Y188*X188*K187,"")</f>
        <v/>
      </c>
      <c r="S187" s="102" t="s">
        <v>172</v>
      </c>
      <c r="T187" s="36" t="s">
        <v>446</v>
      </c>
      <c r="U187" s="36" t="s">
        <v>384</v>
      </c>
      <c r="V187" s="44" t="s">
        <v>443</v>
      </c>
      <c r="W187" s="36" t="s">
        <v>444</v>
      </c>
      <c r="X187" s="44" t="s">
        <v>447</v>
      </c>
      <c r="Y187" s="44" t="s">
        <v>449</v>
      </c>
      <c r="Z187" s="44" t="s">
        <v>374</v>
      </c>
      <c r="AA187" s="36"/>
      <c r="AB187" s="108"/>
      <c r="AC187" s="36"/>
      <c r="AD187" s="36"/>
      <c r="AE187" s="36"/>
      <c r="AF187" s="36"/>
      <c r="AG187" s="36"/>
      <c r="AH187" s="36"/>
      <c r="AI187" s="36"/>
      <c r="AJ187" s="36"/>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7" s="31" customFormat="1" ht="15.5" x14ac:dyDescent="0.3">
      <c r="B188" s="78" t="s">
        <v>377</v>
      </c>
      <c r="C188" s="392" t="s">
        <v>93</v>
      </c>
      <c r="D188" s="393"/>
      <c r="E188" s="393"/>
      <c r="F188" s="393"/>
      <c r="G188" s="394"/>
      <c r="J188" s="33"/>
      <c r="K188" s="38" t="s">
        <v>329</v>
      </c>
      <c r="L188" s="38" t="s">
        <v>201</v>
      </c>
      <c r="M188" s="41"/>
      <c r="N188" s="41"/>
      <c r="O188" s="265"/>
      <c r="Q188" s="47"/>
      <c r="R188" s="108"/>
      <c r="S188" s="36"/>
      <c r="T188" s="48" t="str">
        <f>IF(ISNUMBER(L187),"Kohdetieto",IF(OR(C188=Pudotusvalikot!$D$14,C188=Pudotusvalikot!$D$15),Kalusto!$I$96,VLOOKUP(C188,Kalusto!$C$44:$L$83,7,FALSE)))</f>
        <v>Puoliperävaunu</v>
      </c>
      <c r="U188" s="48">
        <f>IF(ISNUMBER(L187),"Kohdetieto",IF(OR(C188=Pudotusvalikot!$D$14,C188=Pudotusvalikot!$D$15),Kalusto!$J$96,VLOOKUP(C188,Kalusto!$C$44:$L$83,8,FALSE)))</f>
        <v>40</v>
      </c>
      <c r="V188" s="49">
        <f>IF(ISNUMBER(L187),"Kohdetieto",IF(OR(C188=Pudotusvalikot!$D$14,C188=Pudotusvalikot!$D$15),Kalusto!$K$96,VLOOKUP(C188,Kalusto!$C$44:$L$83,9,FALSE)))</f>
        <v>0.8</v>
      </c>
      <c r="W188" s="49" t="str">
        <f>IF(ISNUMBER(L187),"Kohdetieto",IF(OR(C188=Pudotusvalikot!$D$14,C188=Pudotusvalikot!$D$15),Kalusto!$L$96,VLOOKUP(C188,Kalusto!$C$44:$L$83,10,FALSE)))</f>
        <v>maantieajo</v>
      </c>
      <c r="X188" s="50" t="str">
        <f>IF(ISBLANK(C186),"",C186/1000)</f>
        <v/>
      </c>
      <c r="Y188" s="48" t="str">
        <f>IF(ISNUMBER(G187),G187,"")</f>
        <v/>
      </c>
      <c r="Z188" s="51">
        <f>IF(ISNUMBER(L187),L187,K187)</f>
        <v>4.9950000000000001E-2</v>
      </c>
      <c r="AA188" s="36"/>
      <c r="AB188" s="108"/>
      <c r="AC188" s="36"/>
      <c r="AD188" s="36"/>
      <c r="AE188" s="36"/>
      <c r="AF188" s="36"/>
      <c r="AG188" s="36"/>
      <c r="AH188" s="36"/>
      <c r="AI188" s="36"/>
      <c r="AJ188" s="36"/>
      <c r="AK188" s="36"/>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7" s="31" customFormat="1" ht="15.5" x14ac:dyDescent="0.3">
      <c r="B189" s="78" t="s">
        <v>506</v>
      </c>
      <c r="C189" s="160" t="s">
        <v>242</v>
      </c>
      <c r="D189" s="34"/>
      <c r="E189" s="34"/>
      <c r="F189" s="34"/>
      <c r="G189" s="34"/>
      <c r="H189" s="59"/>
      <c r="J189" s="173"/>
      <c r="K189" s="173"/>
      <c r="L189" s="173"/>
      <c r="M189" s="41"/>
      <c r="N189" s="41"/>
      <c r="O189" s="265"/>
      <c r="Q189" s="47"/>
      <c r="R189" s="36"/>
      <c r="S189" s="36"/>
      <c r="T189" s="36"/>
      <c r="U189" s="36"/>
      <c r="V189" s="181"/>
      <c r="W189" s="181"/>
      <c r="X189" s="61"/>
      <c r="Y189" s="36"/>
      <c r="Z189" s="61"/>
      <c r="AA189" s="182"/>
      <c r="AB189" s="61"/>
      <c r="AC189" s="61"/>
      <c r="AD189" s="61"/>
      <c r="AE189" s="61"/>
      <c r="AF189" s="182"/>
      <c r="AG189" s="61"/>
      <c r="AH189" s="36"/>
      <c r="AI189" s="36"/>
      <c r="AJ189" s="36"/>
      <c r="AK189" s="108"/>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7" s="31" customFormat="1" ht="15.5" x14ac:dyDescent="0.3">
      <c r="B190" s="155" t="s">
        <v>543</v>
      </c>
      <c r="C190" s="395" t="s">
        <v>283</v>
      </c>
      <c r="D190" s="395"/>
      <c r="G190" s="156"/>
      <c r="H190" s="84" t="s">
        <v>5</v>
      </c>
      <c r="J190" s="33" t="str">
        <f>IF(C190="Kuljetus","Ei oletusta","Oletus (" &amp; IF(C190="Tiekuljetus",Kalusto!$C$105,IF(C190="Raidekuljetus",Kalusto!$C$106,IF(C190="Laivarahti",Kalusto!$C$107,Kalusto!$C$108))) &amp; ")" )</f>
        <v>Oletus (Puoliperävaunuyhdistelmä, 40 t, 100 % kuorma, maantieajo)</v>
      </c>
      <c r="K190" s="96">
        <f>IF(ISNUMBER(L190),L190,IF(C190=Pudotusvalikot!$N$4,Kalusto!$G$105,IF(C190=Pudotusvalikot!$N$5,Kalusto!$G$106,IF(C190=Pudotusvalikot!$N$6,Kalusto!$G$107,IF(C190=Pudotusvalikot!$N$7,Kalusto!$G$108,Kalusto!$G$105)))))</f>
        <v>4.9950000000000001E-2</v>
      </c>
      <c r="L190" s="40"/>
      <c r="M190" s="41" t="s">
        <v>200</v>
      </c>
      <c r="N190" s="41"/>
      <c r="O190" s="265"/>
      <c r="Q190" s="35"/>
      <c r="R190" s="50" t="str">
        <f>IF(AND(ISNUMBER(G188)*ISNUMBER(C186)),K190*G190*C186,"")</f>
        <v/>
      </c>
      <c r="S190" s="102" t="s">
        <v>172</v>
      </c>
      <c r="T190" s="108"/>
      <c r="U190" s="36"/>
      <c r="V190" s="36"/>
      <c r="W190" s="36"/>
      <c r="X190" s="36"/>
      <c r="Y190" s="36"/>
      <c r="Z190" s="36"/>
      <c r="AA190" s="36"/>
      <c r="AB190" s="36"/>
      <c r="AC190" s="36"/>
      <c r="AD190" s="36"/>
      <c r="AE190" s="36"/>
      <c r="AF190" s="36"/>
      <c r="AG190" s="36"/>
      <c r="AH190" s="36"/>
      <c r="AI190" s="36"/>
      <c r="AJ190" s="36"/>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7" s="31" customFormat="1" ht="15.5" x14ac:dyDescent="0.3">
      <c r="B191" s="155" t="s">
        <v>543</v>
      </c>
      <c r="C191" s="395" t="s">
        <v>284</v>
      </c>
      <c r="D191" s="395"/>
      <c r="G191" s="156"/>
      <c r="H191" s="84" t="s">
        <v>5</v>
      </c>
      <c r="J191" s="33" t="str">
        <f>IF(C191="Kuljetus","Ei oletusta","Oletus (" &amp; IF(C191="Tiekuljetus",Kalusto!$C$105,IF(C191="Raidekuljetus",Kalusto!$C$106,IF(C191="Laivarahti",Kalusto!$C$107,Kalusto!$C$108))) &amp; ")" )</f>
        <v>Oletus (Merikuljetus, konttilaiva, 1000 TEU)</v>
      </c>
      <c r="K191" s="96">
        <f>IF(ISNUMBER(L191),L191,IF(C191=Pudotusvalikot!$N$4,Kalusto!$G$105,IF(C191=Pudotusvalikot!$N$5,Kalusto!$G$106,IF(C191=Pudotusvalikot!$N$6,Kalusto!$G$107,IF(C191=Pudotusvalikot!$N$7,Kalusto!$G$108,"--")))))</f>
        <v>4.4999999999999998E-2</v>
      </c>
      <c r="L191" s="40"/>
      <c r="M191" s="41" t="s">
        <v>200</v>
      </c>
      <c r="N191" s="41"/>
      <c r="O191" s="265"/>
      <c r="Q191" s="35"/>
      <c r="R191" s="50" t="str">
        <f>IF(AND(ISNUMBER(G188)*ISNUMBER(C186)),K191*G191*C186,"")</f>
        <v/>
      </c>
      <c r="S191" s="102" t="s">
        <v>172</v>
      </c>
      <c r="T191" s="108"/>
      <c r="U191" s="36"/>
      <c r="V191" s="36"/>
      <c r="W191" s="36"/>
      <c r="X191" s="36"/>
      <c r="Y191" s="36"/>
      <c r="Z191" s="36"/>
      <c r="AA191" s="36"/>
      <c r="AB191" s="36"/>
      <c r="AC191" s="36"/>
      <c r="AD191" s="36"/>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7" s="31" customFormat="1" ht="15.5" x14ac:dyDescent="0.3">
      <c r="B192" s="155" t="s">
        <v>543</v>
      </c>
      <c r="C192" s="395" t="s">
        <v>283</v>
      </c>
      <c r="D192" s="395"/>
      <c r="G192" s="156"/>
      <c r="H192" s="84" t="s">
        <v>5</v>
      </c>
      <c r="J192" s="33" t="str">
        <f>IF(C192="Kuljetus","Ei oletusta","Oletus (" &amp; IF(C192="Tiekuljetus",Kalusto!$C$105,IF(C192="Raidekuljetus",Kalusto!$C$106,IF(C192="Laivarahti",Kalusto!$C$107,Kalusto!$C$108))) &amp; ")" )</f>
        <v>Oletus (Puoliperävaunuyhdistelmä, 40 t, 100 % kuorma, maantieajo)</v>
      </c>
      <c r="K192" s="96">
        <f>IF(ISNUMBER(L192),L192,IF(C192=Pudotusvalikot!$N$4,Kalusto!$G$105,IF(C192=Pudotusvalikot!$N$5,Kalusto!$G$106,IF(C192=Pudotusvalikot!$N$6,Kalusto!$G$107,IF(C192=Pudotusvalikot!$N$7,Kalusto!$G$108,"--")))))</f>
        <v>4.9950000000000001E-2</v>
      </c>
      <c r="L192" s="40"/>
      <c r="M192" s="41" t="s">
        <v>200</v>
      </c>
      <c r="N192" s="41"/>
      <c r="O192" s="265"/>
      <c r="Q192" s="35"/>
      <c r="R192" s="50" t="str">
        <f>IF(AND(ISNUMBER(G188)*ISNUMBER(C186)),K192*G192*C186,"")</f>
        <v/>
      </c>
      <c r="S192" s="102" t="s">
        <v>172</v>
      </c>
      <c r="T192" s="108"/>
      <c r="U192" s="36"/>
      <c r="V192" s="36"/>
      <c r="W192" s="36"/>
      <c r="X192" s="36"/>
      <c r="Y192" s="36"/>
      <c r="Z192" s="36"/>
      <c r="AA192" s="36"/>
      <c r="AB192" s="36"/>
      <c r="AC192" s="36"/>
      <c r="AD192" s="36"/>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31" customFormat="1" ht="15.5" x14ac:dyDescent="0.3">
      <c r="C193" s="34"/>
      <c r="D193" s="84"/>
      <c r="G193" s="34"/>
      <c r="H193" s="84"/>
      <c r="J193" s="33"/>
      <c r="K193" s="34"/>
      <c r="L193" s="34"/>
      <c r="M193" s="84"/>
      <c r="N193" s="84"/>
      <c r="O193" s="84"/>
      <c r="Q193" s="35"/>
      <c r="R193" s="99"/>
      <c r="S193" s="36"/>
      <c r="T193" s="36"/>
      <c r="U193" s="36"/>
      <c r="V193" s="36"/>
      <c r="W193" s="36"/>
      <c r="X193" s="36"/>
      <c r="Y193" s="36"/>
      <c r="Z193" s="36"/>
      <c r="AA193" s="36"/>
      <c r="AB193" s="36"/>
      <c r="AC193" s="36"/>
      <c r="AD193" s="36"/>
      <c r="AE193" s="36"/>
      <c r="AF193" s="36"/>
      <c r="AG193" s="36"/>
      <c r="AH193" s="36"/>
      <c r="AI193" s="36"/>
      <c r="AJ193" s="36"/>
      <c r="AK193" s="36"/>
      <c r="AL193" s="36"/>
      <c r="AM193" s="36"/>
      <c r="AN193" s="37"/>
      <c r="AO193" s="37"/>
      <c r="AP193" s="37"/>
      <c r="AQ193" s="37"/>
      <c r="AR193" s="37"/>
      <c r="AS193" s="37"/>
      <c r="AT193" s="37"/>
      <c r="AU193" s="37"/>
      <c r="AV193" s="37"/>
      <c r="AW193" s="37"/>
      <c r="AX193" s="37"/>
      <c r="AY193" s="37"/>
      <c r="AZ193" s="37"/>
      <c r="BA193" s="37"/>
      <c r="BB193" s="37"/>
      <c r="BC193" s="37"/>
      <c r="BD193" s="37"/>
      <c r="BE193" s="37"/>
    </row>
    <row r="194" spans="2:59" s="298" customFormat="1" ht="18" x14ac:dyDescent="0.3">
      <c r="B194" s="295" t="s">
        <v>324</v>
      </c>
      <c r="C194" s="296"/>
      <c r="D194" s="297"/>
      <c r="G194" s="296"/>
      <c r="H194" s="297"/>
      <c r="K194" s="296"/>
      <c r="L194" s="296"/>
      <c r="M194" s="297"/>
      <c r="N194" s="297"/>
      <c r="O194" s="300"/>
      <c r="P194" s="320"/>
      <c r="Q194" s="304"/>
      <c r="S194" s="303"/>
      <c r="T194" s="303"/>
      <c r="U194" s="303"/>
      <c r="V194" s="303"/>
      <c r="W194" s="303"/>
      <c r="X194" s="303"/>
      <c r="Y194" s="303"/>
      <c r="Z194" s="303"/>
      <c r="AA194" s="303"/>
      <c r="AB194" s="303"/>
      <c r="AC194" s="303"/>
      <c r="AD194" s="303"/>
      <c r="AE194" s="303"/>
      <c r="AF194" s="303"/>
      <c r="AG194" s="303"/>
      <c r="AH194" s="303"/>
      <c r="AI194" s="303"/>
      <c r="AJ194" s="303"/>
      <c r="AK194" s="303"/>
      <c r="AL194" s="303"/>
      <c r="AM194" s="303"/>
      <c r="AN194" s="304"/>
      <c r="AO194" s="304"/>
      <c r="AP194" s="304"/>
      <c r="AQ194" s="304"/>
      <c r="AR194" s="304"/>
      <c r="AS194" s="304"/>
      <c r="AT194" s="304"/>
      <c r="AU194" s="304"/>
      <c r="AV194" s="304"/>
      <c r="AW194" s="304"/>
      <c r="AX194" s="304"/>
      <c r="AY194" s="304"/>
      <c r="AZ194" s="304"/>
      <c r="BA194" s="304"/>
      <c r="BB194" s="304"/>
      <c r="BC194" s="304"/>
      <c r="BD194" s="304"/>
      <c r="BE194" s="304"/>
    </row>
    <row r="195" spans="2:59" s="31" customFormat="1" ht="15.5" x14ac:dyDescent="0.3">
      <c r="B195" s="9"/>
      <c r="C195" s="34"/>
      <c r="D195" s="84"/>
      <c r="G195" s="34"/>
      <c r="H195" s="84"/>
      <c r="J195" s="33"/>
      <c r="K195" s="38" t="s">
        <v>329</v>
      </c>
      <c r="L195" s="38" t="s">
        <v>201</v>
      </c>
      <c r="M195" s="86"/>
      <c r="N195" s="86"/>
      <c r="O195" s="255" t="s">
        <v>644</v>
      </c>
      <c r="Q195" s="133"/>
      <c r="R195" s="44" t="s">
        <v>350</v>
      </c>
      <c r="S195" s="36"/>
      <c r="T195" s="37"/>
      <c r="U195" s="36"/>
      <c r="V195" s="44"/>
      <c r="W195" s="36"/>
      <c r="X195" s="36"/>
      <c r="Y195" s="36"/>
      <c r="Z195" s="36"/>
      <c r="AA195" s="36"/>
      <c r="AB195" s="36"/>
      <c r="AC195" s="36"/>
      <c r="AD195" s="36"/>
      <c r="AE195" s="36"/>
      <c r="AF195" s="36"/>
      <c r="AG195" s="36"/>
      <c r="AH195" s="36"/>
      <c r="AI195" s="36"/>
      <c r="AJ195" s="36"/>
      <c r="AK195" s="36"/>
      <c r="AL195" s="36"/>
      <c r="AM195" s="36"/>
      <c r="AN195" s="36"/>
      <c r="AO195" s="36"/>
      <c r="AP195" s="37"/>
      <c r="AQ195" s="37"/>
      <c r="AR195" s="37"/>
      <c r="AS195" s="37"/>
      <c r="AT195" s="37"/>
      <c r="AU195" s="37"/>
      <c r="AV195" s="37"/>
      <c r="AW195" s="37"/>
      <c r="AX195" s="37"/>
      <c r="AY195" s="37"/>
      <c r="AZ195" s="37"/>
      <c r="BA195" s="37"/>
      <c r="BB195" s="37"/>
      <c r="BC195" s="37"/>
      <c r="BD195" s="37"/>
      <c r="BE195" s="37"/>
      <c r="BF195" s="37"/>
      <c r="BG195" s="37"/>
    </row>
    <row r="196" spans="2:59" s="31" customFormat="1" ht="31" x14ac:dyDescent="0.3">
      <c r="B196" s="78" t="s">
        <v>601</v>
      </c>
      <c r="C196" s="392" t="s">
        <v>314</v>
      </c>
      <c r="D196" s="394"/>
      <c r="E196" s="34"/>
      <c r="G196" s="34"/>
      <c r="H196" s="84"/>
      <c r="J196" s="33" t="s">
        <v>534</v>
      </c>
      <c r="K196" s="138">
        <f>IF(ISNUMBER(L196),L196,Muut!$H$10)</f>
        <v>60</v>
      </c>
      <c r="L196" s="73"/>
      <c r="M196" s="86" t="s">
        <v>535</v>
      </c>
      <c r="N196" s="86"/>
      <c r="O196" s="256"/>
      <c r="Q196" s="133"/>
      <c r="R196" s="109" t="str">
        <f>IF(ISNUMBER(R200),R200,IF(ISNUMBER(R202),R202,""))</f>
        <v/>
      </c>
      <c r="S196" s="102" t="s">
        <v>172</v>
      </c>
      <c r="T196" s="44"/>
      <c r="U196" s="36"/>
      <c r="V196" s="44"/>
      <c r="W196" s="36"/>
      <c r="X196" s="36"/>
      <c r="Y196" s="36"/>
      <c r="Z196" s="36"/>
      <c r="AA196" s="36"/>
      <c r="AB196" s="36"/>
      <c r="AC196" s="36"/>
      <c r="AD196" s="36"/>
      <c r="AE196" s="36"/>
      <c r="AF196" s="36"/>
      <c r="AG196" s="36"/>
      <c r="AH196" s="36"/>
      <c r="AI196" s="36"/>
      <c r="AJ196" s="36"/>
      <c r="AK196" s="36"/>
      <c r="AL196" s="36"/>
      <c r="AM196" s="36"/>
      <c r="AN196" s="36"/>
      <c r="AO196" s="36"/>
      <c r="AP196" s="37"/>
      <c r="AQ196" s="37"/>
      <c r="AR196" s="37"/>
      <c r="AS196" s="37"/>
      <c r="AT196" s="37"/>
      <c r="AU196" s="37"/>
      <c r="AV196" s="37"/>
      <c r="AW196" s="37"/>
      <c r="AX196" s="37"/>
      <c r="AY196" s="37"/>
      <c r="AZ196" s="37"/>
      <c r="BA196" s="37"/>
      <c r="BB196" s="37"/>
      <c r="BC196" s="37"/>
      <c r="BD196" s="37"/>
      <c r="BE196" s="37"/>
      <c r="BF196" s="37"/>
      <c r="BG196" s="37"/>
    </row>
    <row r="197" spans="2:59" s="31" customFormat="1" ht="15.5" x14ac:dyDescent="0.3">
      <c r="B197" s="170" t="s">
        <v>536</v>
      </c>
      <c r="C197" s="160"/>
      <c r="D197" s="84" t="s">
        <v>8</v>
      </c>
      <c r="G197" s="34"/>
      <c r="H197" s="84"/>
      <c r="J197" s="33" t="s">
        <v>537</v>
      </c>
      <c r="K197" s="96">
        <f>IF(ISNUMBER(L197),L197,IF(OR(C196="Bensiini",C196="Diesel"),Muut!$H$34,Muut!$H$35))</f>
        <v>0.95</v>
      </c>
      <c r="L197" s="175" t="str">
        <f>IF(ISNUMBER(C197),C197,"--")</f>
        <v>--</v>
      </c>
      <c r="M197" s="86"/>
      <c r="N197" s="86"/>
      <c r="O197" s="266"/>
      <c r="Q197" s="35"/>
      <c r="R197" s="61"/>
      <c r="S197" s="102"/>
      <c r="T197" s="44"/>
      <c r="U197" s="36"/>
      <c r="V197" s="36"/>
      <c r="W197" s="36"/>
      <c r="X197" s="36"/>
      <c r="Y197" s="36"/>
      <c r="Z197" s="36"/>
      <c r="AA197" s="36"/>
      <c r="AB197" s="36"/>
      <c r="AC197" s="36"/>
      <c r="AD197" s="36"/>
      <c r="AE197" s="36"/>
      <c r="AF197" s="36"/>
      <c r="AG197" s="36"/>
      <c r="AH197" s="36"/>
      <c r="AI197" s="36"/>
      <c r="AJ197" s="36"/>
      <c r="AK197" s="36"/>
      <c r="AL197" s="36"/>
      <c r="AM197" s="36"/>
      <c r="AN197" s="37"/>
      <c r="AO197" s="37"/>
      <c r="AP197" s="37"/>
      <c r="AQ197" s="37"/>
      <c r="AR197" s="37"/>
      <c r="AS197" s="37"/>
      <c r="AT197" s="37"/>
      <c r="AU197" s="37"/>
      <c r="AV197" s="37"/>
      <c r="AW197" s="37"/>
      <c r="AX197" s="37"/>
      <c r="AY197" s="37"/>
      <c r="AZ197" s="37"/>
      <c r="BA197" s="37"/>
      <c r="BB197" s="37"/>
      <c r="BC197" s="37"/>
      <c r="BD197" s="37"/>
      <c r="BE197" s="37"/>
    </row>
    <row r="198" spans="2:59" s="31" customFormat="1" ht="15.5" x14ac:dyDescent="0.3">
      <c r="B198" s="54" t="s">
        <v>315</v>
      </c>
      <c r="C198" s="160"/>
      <c r="D198" s="89" t="s">
        <v>301</v>
      </c>
      <c r="E198" s="79"/>
      <c r="G198" s="79"/>
      <c r="H198" s="84"/>
      <c r="M198" s="84"/>
      <c r="N198" s="84"/>
      <c r="O198" s="100"/>
      <c r="Q198" s="133"/>
      <c r="R198" s="99"/>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7"/>
      <c r="AQ198" s="37"/>
      <c r="AR198" s="37"/>
      <c r="AS198" s="37"/>
      <c r="AT198" s="37"/>
      <c r="AU198" s="37"/>
      <c r="AV198" s="37"/>
      <c r="AW198" s="37"/>
      <c r="AX198" s="37"/>
      <c r="AY198" s="37"/>
      <c r="AZ198" s="37"/>
      <c r="BA198" s="37"/>
      <c r="BB198" s="37"/>
      <c r="BC198" s="37"/>
      <c r="BD198" s="37"/>
      <c r="BE198" s="37"/>
      <c r="BF198" s="37"/>
      <c r="BG198" s="37"/>
    </row>
    <row r="199" spans="2:59" s="31" customFormat="1" ht="15.5" x14ac:dyDescent="0.3">
      <c r="B199" s="54" t="s">
        <v>600</v>
      </c>
      <c r="C199" s="34"/>
      <c r="D199" s="84"/>
      <c r="G199" s="34"/>
      <c r="H199" s="84"/>
      <c r="J199" s="33"/>
      <c r="K199" s="38"/>
      <c r="L199" s="38"/>
      <c r="M199" s="84"/>
      <c r="N199" s="84"/>
      <c r="O199" s="100"/>
      <c r="Q199" s="133"/>
      <c r="R199" s="44" t="s">
        <v>350</v>
      </c>
      <c r="S199" s="36"/>
      <c r="T199" s="36" t="s">
        <v>184</v>
      </c>
      <c r="U199" s="36"/>
      <c r="V199" s="108"/>
      <c r="W199" s="108"/>
      <c r="X199" s="36"/>
      <c r="Y199" s="36"/>
      <c r="Z199" s="36"/>
      <c r="AA199" s="36"/>
      <c r="AB199" s="36"/>
      <c r="AC199" s="36"/>
      <c r="AD199" s="36"/>
      <c r="AE199" s="36"/>
      <c r="AF199" s="36"/>
      <c r="AG199" s="36"/>
      <c r="AH199" s="36"/>
      <c r="AI199" s="36"/>
      <c r="AJ199" s="36"/>
      <c r="AK199" s="36"/>
      <c r="AL199" s="36"/>
      <c r="AM199" s="36"/>
      <c r="AN199" s="36"/>
      <c r="AO199" s="36"/>
      <c r="AP199" s="37"/>
      <c r="AQ199" s="37"/>
      <c r="AR199" s="37"/>
      <c r="AS199" s="37"/>
      <c r="AT199" s="37"/>
      <c r="AU199" s="37"/>
      <c r="AV199" s="37"/>
      <c r="AW199" s="37"/>
      <c r="AX199" s="37"/>
      <c r="AY199" s="37"/>
      <c r="AZ199" s="37"/>
      <c r="BA199" s="37"/>
      <c r="BB199" s="37"/>
      <c r="BC199" s="37"/>
      <c r="BD199" s="37"/>
      <c r="BE199" s="37"/>
      <c r="BF199" s="37"/>
      <c r="BG199" s="37"/>
    </row>
    <row r="200" spans="2:59" s="31" customFormat="1" ht="31" x14ac:dyDescent="0.3">
      <c r="B200" s="170" t="s">
        <v>605</v>
      </c>
      <c r="C200" s="156"/>
      <c r="D200" s="84" t="s">
        <v>296</v>
      </c>
      <c r="E200" s="34"/>
      <c r="G200" s="34"/>
      <c r="H200" s="84"/>
      <c r="M200" s="84"/>
      <c r="N200" s="84"/>
      <c r="O200" s="100"/>
      <c r="Q200" s="133"/>
      <c r="R200" s="109" t="str">
        <f>IF(ISNUMBER(C200),IF(AND(ISNUMBER(C198),C196="Aggregaatti"),C198*IF(D198="vuosi",365*24,IF(D198="kuukausi",30*24,IF(D198="päivä",24,1)))*Kalusto!$E$23,C200*T200),"")</f>
        <v/>
      </c>
      <c r="S200" s="102" t="s">
        <v>172</v>
      </c>
      <c r="T200" s="195" t="str">
        <f>IF(ISNUMBER(C200),IF(C196="Ostosähkö", (K196+Muut!$H$12)/1000,IF(C196="Aurinkopaneelit",(Muut!$H$24+Muut!$H$25)/1000,IF(OR(C196="Bensiini",C196="Diesel"),(Muut!$H$15+Muut!$H$14+Muut!$H$17+Muut!$H$18)/2,"Aggregaatin kerroin"))),"")</f>
        <v/>
      </c>
      <c r="U200" s="36"/>
      <c r="V200" s="108"/>
      <c r="W200" s="108"/>
      <c r="X200" s="36"/>
      <c r="Y200" s="36"/>
      <c r="Z200" s="36"/>
      <c r="AA200" s="36"/>
      <c r="AB200" s="36"/>
      <c r="AC200" s="36"/>
      <c r="AD200" s="36"/>
      <c r="AE200" s="36"/>
      <c r="AF200" s="36"/>
      <c r="AG200" s="36"/>
      <c r="AH200" s="36"/>
      <c r="AI200" s="36"/>
      <c r="AJ200" s="36"/>
      <c r="AK200" s="36"/>
      <c r="AL200" s="36"/>
      <c r="AM200" s="36"/>
      <c r="AN200" s="36"/>
      <c r="AO200" s="36"/>
      <c r="AP200" s="37"/>
      <c r="AQ200" s="37"/>
      <c r="AR200" s="37"/>
      <c r="AS200" s="37"/>
      <c r="AT200" s="37"/>
      <c r="AU200" s="37"/>
      <c r="AV200" s="37"/>
      <c r="AW200" s="37"/>
      <c r="AX200" s="37"/>
      <c r="AY200" s="37"/>
      <c r="AZ200" s="37"/>
      <c r="BA200" s="37"/>
      <c r="BB200" s="37"/>
      <c r="BC200" s="37"/>
      <c r="BD200" s="37"/>
      <c r="BE200" s="37"/>
      <c r="BF200" s="37"/>
      <c r="BG200" s="37"/>
    </row>
    <row r="201" spans="2:59" s="31" customFormat="1" ht="15.5" x14ac:dyDescent="0.3">
      <c r="B201" s="54" t="s">
        <v>604</v>
      </c>
      <c r="C201" s="34"/>
      <c r="D201" s="84"/>
      <c r="G201" s="79"/>
      <c r="H201" s="84"/>
      <c r="M201" s="84"/>
      <c r="N201" s="84"/>
      <c r="O201" s="100"/>
      <c r="Q201" s="133"/>
      <c r="R201" s="44" t="s">
        <v>350</v>
      </c>
      <c r="S201" s="36"/>
      <c r="T201" s="36" t="s">
        <v>184</v>
      </c>
      <c r="U201" s="36"/>
      <c r="V201" s="108"/>
      <c r="W201" s="108"/>
      <c r="X201" s="36"/>
      <c r="Y201" s="36"/>
      <c r="Z201" s="36"/>
      <c r="AA201" s="36"/>
      <c r="AB201" s="36"/>
      <c r="AC201" s="36"/>
      <c r="AD201" s="36"/>
      <c r="AE201" s="36"/>
      <c r="AF201" s="36"/>
      <c r="AG201" s="36"/>
      <c r="AH201" s="36"/>
      <c r="AI201" s="36"/>
      <c r="AJ201" s="36"/>
      <c r="AK201" s="36"/>
      <c r="AL201" s="36"/>
      <c r="AM201" s="36"/>
      <c r="AN201" s="36"/>
      <c r="AO201" s="36"/>
      <c r="AP201" s="37"/>
      <c r="AQ201" s="37"/>
      <c r="AR201" s="37"/>
      <c r="AS201" s="37"/>
      <c r="AT201" s="37"/>
      <c r="AU201" s="37"/>
      <c r="AV201" s="37"/>
      <c r="AW201" s="37"/>
      <c r="AX201" s="37"/>
      <c r="AY201" s="37"/>
      <c r="AZ201" s="37"/>
      <c r="BA201" s="37"/>
      <c r="BB201" s="37"/>
      <c r="BC201" s="37"/>
      <c r="BD201" s="37"/>
      <c r="BE201" s="37"/>
      <c r="BF201" s="37"/>
      <c r="BG201" s="37"/>
    </row>
    <row r="202" spans="2:59" s="31" customFormat="1" ht="15.5" x14ac:dyDescent="0.3">
      <c r="B202" s="45" t="s">
        <v>603</v>
      </c>
      <c r="C202" s="160"/>
      <c r="D202" s="84" t="s">
        <v>211</v>
      </c>
      <c r="G202" s="79"/>
      <c r="H202" s="84"/>
      <c r="M202" s="84"/>
      <c r="N202" s="84"/>
      <c r="O202" s="100"/>
      <c r="Q202" s="133"/>
      <c r="R202" s="109" t="str">
        <f>IF(ISNUMBER(C202),IF(AND(ISNUMBER(C198),C196="Aggregaatti"),C200*IF(D198="vuosi",365*24,IF(D198="kuukausi",30*24,IF(D198="päivä",24,1)))*Kalusto!$E$23,IF(D198="vuosi",365*24,IF(D198="kuukausi",30*24,IF(D198="päivä",24,1)))*C202*T202/K197),"")</f>
        <v/>
      </c>
      <c r="S202" s="102" t="s">
        <v>172</v>
      </c>
      <c r="T202" s="195" t="str">
        <f>IF(ISNUMBER(C202),IF(C196="Ostosähkö", (K196+Muut!$H$12)/1000/K197,IF(C196="Aurinkopaneelit",(Muut!$H$24+Muut!$H$25)/1000,IF(OR(C196="Bensiini",C196="Diesel"),(Muut!$H$15+Muut!$H$14+Muut!$H$17+Muut!$H$18)/2/K197,"Aggregaatin kerroin"))),"")</f>
        <v/>
      </c>
      <c r="U202" s="36"/>
      <c r="V202" s="108"/>
      <c r="W202" s="108"/>
      <c r="X202" s="36"/>
      <c r="Y202" s="36"/>
      <c r="Z202" s="36"/>
      <c r="AA202" s="36"/>
      <c r="AB202" s="36"/>
      <c r="AC202" s="36"/>
      <c r="AD202" s="36"/>
      <c r="AE202" s="36"/>
      <c r="AF202" s="36"/>
      <c r="AG202" s="36"/>
      <c r="AH202" s="36"/>
      <c r="AI202" s="36"/>
      <c r="AJ202" s="36"/>
      <c r="AK202" s="36"/>
      <c r="AL202" s="36"/>
      <c r="AM202" s="36"/>
      <c r="AN202" s="36"/>
      <c r="AO202" s="36"/>
      <c r="AP202" s="37"/>
      <c r="AQ202" s="37"/>
      <c r="AR202" s="37"/>
      <c r="AS202" s="37"/>
      <c r="AT202" s="37"/>
      <c r="AU202" s="37"/>
      <c r="AV202" s="37"/>
      <c r="AW202" s="37"/>
      <c r="AX202" s="37"/>
      <c r="AY202" s="37"/>
      <c r="AZ202" s="37"/>
      <c r="BA202" s="37"/>
      <c r="BB202" s="37"/>
      <c r="BC202" s="37"/>
      <c r="BD202" s="37"/>
      <c r="BE202" s="37"/>
      <c r="BF202" s="37"/>
      <c r="BG202" s="37"/>
    </row>
    <row r="203" spans="2:59" s="31" customFormat="1" ht="15.5" x14ac:dyDescent="0.3">
      <c r="D203" s="84"/>
      <c r="H203" s="84"/>
      <c r="M203" s="84"/>
      <c r="N203" s="84"/>
      <c r="O203" s="84"/>
      <c r="Q203" s="133"/>
      <c r="R203" s="98"/>
      <c r="S203" s="108"/>
      <c r="T203" s="37"/>
      <c r="U203" s="36"/>
      <c r="V203" s="36"/>
      <c r="W203" s="36"/>
      <c r="X203" s="36"/>
      <c r="Y203" s="36"/>
      <c r="Z203" s="36"/>
      <c r="AA203" s="36"/>
      <c r="AB203" s="36"/>
      <c r="AC203" s="36"/>
      <c r="AD203" s="36"/>
      <c r="AE203" s="36"/>
      <c r="AF203" s="36"/>
      <c r="AG203" s="36"/>
      <c r="AH203" s="36"/>
      <c r="AI203" s="36"/>
      <c r="AJ203" s="36"/>
      <c r="AK203" s="36"/>
      <c r="AL203" s="36"/>
      <c r="AM203" s="36"/>
      <c r="AN203" s="36"/>
      <c r="AO203" s="36"/>
      <c r="AP203" s="37"/>
      <c r="AQ203" s="37"/>
      <c r="AR203" s="37"/>
      <c r="AS203" s="37"/>
      <c r="AT203" s="37"/>
      <c r="AU203" s="37"/>
      <c r="AV203" s="37"/>
      <c r="AW203" s="37"/>
      <c r="AX203" s="37"/>
      <c r="AY203" s="37"/>
      <c r="AZ203" s="37"/>
      <c r="BA203" s="37"/>
      <c r="BB203" s="37"/>
      <c r="BC203" s="37"/>
      <c r="BD203" s="37"/>
      <c r="BE203" s="37"/>
      <c r="BF203" s="37"/>
      <c r="BG203" s="37"/>
    </row>
    <row r="204" spans="2:59" s="298" customFormat="1" ht="18" x14ac:dyDescent="0.3">
      <c r="B204" s="295" t="s">
        <v>321</v>
      </c>
      <c r="C204" s="296"/>
      <c r="D204" s="297"/>
      <c r="G204" s="296"/>
      <c r="H204" s="297"/>
      <c r="K204" s="296"/>
      <c r="L204" s="296"/>
      <c r="M204" s="297"/>
      <c r="N204" s="297"/>
      <c r="O204" s="300"/>
      <c r="P204" s="320"/>
      <c r="Q204" s="304"/>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4"/>
      <c r="AO204" s="304"/>
      <c r="AP204" s="304"/>
      <c r="AQ204" s="304"/>
      <c r="AR204" s="304"/>
      <c r="AS204" s="304"/>
      <c r="AT204" s="304"/>
      <c r="AU204" s="304"/>
      <c r="AV204" s="304"/>
      <c r="AW204" s="304"/>
      <c r="AX204" s="304"/>
      <c r="AY204" s="304"/>
      <c r="AZ204" s="304"/>
      <c r="BA204" s="304"/>
      <c r="BB204" s="304"/>
      <c r="BC204" s="304"/>
      <c r="BD204" s="304"/>
      <c r="BE204" s="304"/>
    </row>
    <row r="205" spans="2:59" s="31" customFormat="1" ht="15.5" x14ac:dyDescent="0.3">
      <c r="B205" s="9"/>
      <c r="C205" s="34"/>
      <c r="D205" s="84"/>
      <c r="G205" s="34"/>
      <c r="H205" s="84"/>
      <c r="J205" s="33"/>
      <c r="K205" s="38" t="s">
        <v>329</v>
      </c>
      <c r="L205" s="38" t="s">
        <v>201</v>
      </c>
      <c r="M205" s="84"/>
      <c r="N205" s="84"/>
      <c r="O205" s="255" t="s">
        <v>644</v>
      </c>
      <c r="Q205" s="133"/>
      <c r="R205" s="44" t="s">
        <v>350</v>
      </c>
      <c r="S205" s="36"/>
      <c r="T205" s="44"/>
      <c r="U205" s="36"/>
      <c r="V205" s="44"/>
      <c r="W205" s="36"/>
      <c r="X205" s="36"/>
      <c r="Y205" s="36"/>
      <c r="Z205" s="36"/>
      <c r="AA205" s="36"/>
      <c r="AB205" s="36"/>
      <c r="AC205" s="36"/>
      <c r="AD205" s="36"/>
      <c r="AE205" s="36"/>
      <c r="AF205" s="36"/>
      <c r="AG205" s="36"/>
      <c r="AH205" s="36"/>
      <c r="AI205" s="36"/>
      <c r="AJ205" s="36"/>
      <c r="AK205" s="36"/>
      <c r="AL205" s="36"/>
      <c r="AM205" s="36"/>
      <c r="AN205" s="36"/>
      <c r="AO205" s="36"/>
      <c r="AP205" s="37"/>
      <c r="AQ205" s="37"/>
      <c r="AR205" s="37"/>
      <c r="AS205" s="37"/>
      <c r="AT205" s="37"/>
      <c r="AU205" s="37"/>
      <c r="AV205" s="37"/>
      <c r="AW205" s="37"/>
      <c r="AX205" s="37"/>
      <c r="AY205" s="37"/>
      <c r="AZ205" s="37"/>
      <c r="BA205" s="37"/>
      <c r="BB205" s="37"/>
      <c r="BC205" s="37"/>
      <c r="BD205" s="37"/>
      <c r="BE205" s="37"/>
      <c r="BF205" s="37"/>
      <c r="BG205" s="37"/>
    </row>
    <row r="206" spans="2:59" s="31" customFormat="1" ht="31" x14ac:dyDescent="0.3">
      <c r="B206" s="78" t="s">
        <v>601</v>
      </c>
      <c r="C206" s="392" t="s">
        <v>314</v>
      </c>
      <c r="D206" s="394"/>
      <c r="E206" s="34"/>
      <c r="G206" s="34"/>
      <c r="H206" s="84"/>
      <c r="J206" s="33" t="s">
        <v>534</v>
      </c>
      <c r="K206" s="138">
        <f>IF(ISNUMBER(L206),L206,Muut!$H$10)</f>
        <v>60</v>
      </c>
      <c r="L206" s="73"/>
      <c r="M206" s="86" t="s">
        <v>535</v>
      </c>
      <c r="N206" s="86"/>
      <c r="O206" s="256"/>
      <c r="Q206" s="133"/>
      <c r="R206" s="109" t="str">
        <f>IF(ISNUMBER(R210),R210,IF(ISNUMBER(R212),R212,""))</f>
        <v/>
      </c>
      <c r="S206" s="102" t="s">
        <v>172</v>
      </c>
      <c r="T206" s="44"/>
      <c r="U206" s="36"/>
      <c r="V206" s="44"/>
      <c r="W206" s="36"/>
      <c r="X206" s="36"/>
      <c r="Y206" s="36"/>
      <c r="Z206" s="36"/>
      <c r="AA206" s="36"/>
      <c r="AB206" s="36"/>
      <c r="AC206" s="36"/>
      <c r="AD206" s="36"/>
      <c r="AE206" s="36"/>
      <c r="AF206" s="36"/>
      <c r="AG206" s="36"/>
      <c r="AH206" s="36"/>
      <c r="AI206" s="36"/>
      <c r="AJ206" s="36"/>
      <c r="AK206" s="36"/>
      <c r="AL206" s="36"/>
      <c r="AM206" s="36"/>
      <c r="AN206" s="36"/>
      <c r="AO206" s="36"/>
      <c r="AP206" s="37"/>
      <c r="AQ206" s="37"/>
      <c r="AR206" s="37"/>
      <c r="AS206" s="37"/>
      <c r="AT206" s="37"/>
      <c r="AU206" s="37"/>
      <c r="AV206" s="37"/>
      <c r="AW206" s="37"/>
      <c r="AX206" s="37"/>
      <c r="AY206" s="37"/>
      <c r="AZ206" s="37"/>
      <c r="BA206" s="37"/>
      <c r="BB206" s="37"/>
      <c r="BC206" s="37"/>
      <c r="BD206" s="37"/>
      <c r="BE206" s="37"/>
      <c r="BF206" s="37"/>
      <c r="BG206" s="37"/>
    </row>
    <row r="207" spans="2:59" s="31" customFormat="1" ht="15.5" x14ac:dyDescent="0.3">
      <c r="B207" s="170" t="s">
        <v>536</v>
      </c>
      <c r="C207" s="160"/>
      <c r="D207" s="84" t="s">
        <v>8</v>
      </c>
      <c r="E207" s="34"/>
      <c r="G207" s="34"/>
      <c r="H207" s="84"/>
      <c r="J207" s="33" t="s">
        <v>537</v>
      </c>
      <c r="K207" s="96">
        <f>IF(ISNUMBER(L207),L207,IF(OR(C206="Bensiini",C206="Diesel"),Muut!$H$34,Muut!$H$35))</f>
        <v>0.95</v>
      </c>
      <c r="L207" s="175" t="str">
        <f>IF(ISNUMBER(C207),C207,"--")</f>
        <v>--</v>
      </c>
      <c r="M207" s="86"/>
      <c r="N207" s="86"/>
      <c r="O207" s="266"/>
      <c r="Q207" s="35"/>
      <c r="R207" s="61"/>
      <c r="S207" s="102"/>
      <c r="T207" s="44"/>
      <c r="U207" s="36"/>
      <c r="V207" s="36"/>
      <c r="W207" s="36"/>
      <c r="X207" s="36"/>
      <c r="Y207" s="36"/>
      <c r="Z207" s="36"/>
      <c r="AA207" s="36"/>
      <c r="AB207" s="36"/>
      <c r="AC207" s="36"/>
      <c r="AD207" s="36"/>
      <c r="AE207" s="36"/>
      <c r="AF207" s="36"/>
      <c r="AG207" s="36"/>
      <c r="AH207" s="36"/>
      <c r="AI207" s="36"/>
      <c r="AJ207" s="36"/>
      <c r="AK207" s="36"/>
      <c r="AL207" s="36"/>
      <c r="AM207" s="36"/>
      <c r="AN207" s="37"/>
      <c r="AO207" s="37"/>
      <c r="AP207" s="37"/>
      <c r="AQ207" s="37"/>
      <c r="AR207" s="37"/>
      <c r="AS207" s="37"/>
      <c r="AT207" s="37"/>
      <c r="AU207" s="37"/>
      <c r="AV207" s="37"/>
      <c r="AW207" s="37"/>
      <c r="AX207" s="37"/>
      <c r="AY207" s="37"/>
      <c r="AZ207" s="37"/>
      <c r="BA207" s="37"/>
      <c r="BB207" s="37"/>
      <c r="BC207" s="37"/>
      <c r="BD207" s="37"/>
      <c r="BE207" s="37"/>
    </row>
    <row r="208" spans="2:59" s="31" customFormat="1" ht="15.5" x14ac:dyDescent="0.3">
      <c r="B208" s="54" t="s">
        <v>315</v>
      </c>
      <c r="C208" s="160"/>
      <c r="D208" s="94" t="s">
        <v>301</v>
      </c>
      <c r="E208" s="79"/>
      <c r="G208" s="79"/>
      <c r="H208" s="84"/>
      <c r="M208" s="84"/>
      <c r="N208" s="84"/>
      <c r="O208" s="100"/>
      <c r="Q208" s="133"/>
      <c r="R208" s="99"/>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7"/>
      <c r="AQ208" s="37"/>
      <c r="AR208" s="37"/>
      <c r="AS208" s="37"/>
      <c r="AT208" s="37"/>
      <c r="AU208" s="37"/>
      <c r="AV208" s="37"/>
      <c r="AW208" s="37"/>
      <c r="AX208" s="37"/>
      <c r="AY208" s="37"/>
      <c r="AZ208" s="37"/>
      <c r="BA208" s="37"/>
      <c r="BB208" s="37"/>
      <c r="BC208" s="37"/>
      <c r="BD208" s="37"/>
      <c r="BE208" s="37"/>
      <c r="BF208" s="37"/>
      <c r="BG208" s="37"/>
    </row>
    <row r="209" spans="2:59" s="31" customFormat="1" ht="15.5" x14ac:dyDescent="0.3">
      <c r="B209" s="54" t="s">
        <v>600</v>
      </c>
      <c r="C209" s="34"/>
      <c r="D209" s="84"/>
      <c r="G209" s="34"/>
      <c r="H209" s="84"/>
      <c r="J209" s="33"/>
      <c r="K209" s="38"/>
      <c r="L209" s="38"/>
      <c r="M209" s="84"/>
      <c r="N209" s="84"/>
      <c r="O209" s="100"/>
      <c r="Q209" s="133"/>
      <c r="R209" s="44" t="s">
        <v>350</v>
      </c>
      <c r="S209" s="36"/>
      <c r="T209" s="36" t="s">
        <v>184</v>
      </c>
      <c r="U209" s="36"/>
      <c r="V209" s="36"/>
      <c r="W209" s="36"/>
      <c r="X209" s="36"/>
      <c r="Y209" s="36"/>
      <c r="Z209" s="36"/>
      <c r="AA209" s="36"/>
      <c r="AB209" s="36"/>
      <c r="AC209" s="36"/>
      <c r="AD209" s="36"/>
      <c r="AE209" s="36"/>
      <c r="AF209" s="36"/>
      <c r="AG209" s="36"/>
      <c r="AH209" s="36"/>
      <c r="AI209" s="36"/>
      <c r="AJ209" s="36"/>
      <c r="AK209" s="36"/>
      <c r="AL209" s="36"/>
      <c r="AM209" s="36"/>
      <c r="AN209" s="36"/>
      <c r="AO209" s="36"/>
      <c r="AP209" s="37"/>
      <c r="AQ209" s="37"/>
      <c r="AR209" s="37"/>
      <c r="AS209" s="37"/>
      <c r="AT209" s="37"/>
      <c r="AU209" s="37"/>
      <c r="AV209" s="37"/>
      <c r="AW209" s="37"/>
      <c r="AX209" s="37"/>
      <c r="AY209" s="37"/>
      <c r="AZ209" s="37"/>
      <c r="BA209" s="37"/>
      <c r="BB209" s="37"/>
      <c r="BC209" s="37"/>
      <c r="BD209" s="37"/>
      <c r="BE209" s="37"/>
      <c r="BF209" s="37"/>
      <c r="BG209" s="37"/>
    </row>
    <row r="210" spans="2:59" s="31" customFormat="1" ht="31" x14ac:dyDescent="0.3">
      <c r="B210" s="170" t="s">
        <v>605</v>
      </c>
      <c r="C210" s="156"/>
      <c r="D210" s="84" t="s">
        <v>296</v>
      </c>
      <c r="E210" s="34"/>
      <c r="G210" s="34"/>
      <c r="H210" s="84"/>
      <c r="M210" s="84"/>
      <c r="N210" s="84"/>
      <c r="O210" s="100"/>
      <c r="Q210" s="133"/>
      <c r="R210" s="109" t="str">
        <f>IF(ISNUMBER(C210),IF(AND(ISNUMBER(C208),C206="Aggregaatti"),C208*IF(D208="vuosi",365*24,IF(D208="kuukausi",30*24,IF(D208="päivä",24,1)))*Kalusto!$E$23,C210*T210),"")</f>
        <v/>
      </c>
      <c r="S210" s="102" t="s">
        <v>172</v>
      </c>
      <c r="T210" s="195" t="str">
        <f>IF(ISNUMBER(C210),IF(C206="Ostosähkö", (K206+Muut!$H$12)/1000,IF(C206="Aurinkopaneelit",(Muut!$H$24+Muut!$H$25)/1000,IF(OR(C206="Bensiini",C206="Diesel"),(Muut!$H$15+Muut!$H$14+Muut!$H$17+Muut!$H$18)/2,"Aggregaatin kerroin"))),"")</f>
        <v/>
      </c>
      <c r="U210" s="36"/>
      <c r="V210" s="36"/>
      <c r="W210" s="36"/>
      <c r="X210" s="36"/>
      <c r="Y210" s="36"/>
      <c r="Z210" s="36"/>
      <c r="AA210" s="36"/>
      <c r="AB210" s="36"/>
      <c r="AC210" s="36"/>
      <c r="AD210" s="36"/>
      <c r="AE210" s="36"/>
      <c r="AF210" s="36"/>
      <c r="AG210" s="36"/>
      <c r="AH210" s="36"/>
      <c r="AI210" s="36"/>
      <c r="AJ210" s="36"/>
      <c r="AK210" s="36"/>
      <c r="AL210" s="36"/>
      <c r="AM210" s="36"/>
      <c r="AN210" s="36"/>
      <c r="AO210" s="36"/>
      <c r="AP210" s="37"/>
      <c r="AQ210" s="37"/>
      <c r="AR210" s="37"/>
      <c r="AS210" s="37"/>
      <c r="AT210" s="37"/>
      <c r="AU210" s="37"/>
      <c r="AV210" s="37"/>
      <c r="AW210" s="37"/>
      <c r="AX210" s="37"/>
      <c r="AY210" s="37"/>
      <c r="AZ210" s="37"/>
      <c r="BA210" s="37"/>
      <c r="BB210" s="37"/>
      <c r="BC210" s="37"/>
      <c r="BD210" s="37"/>
      <c r="BE210" s="37"/>
      <c r="BF210" s="37"/>
      <c r="BG210" s="37"/>
    </row>
    <row r="211" spans="2:59" s="31" customFormat="1" ht="15.5" x14ac:dyDescent="0.3">
      <c r="B211" s="54" t="s">
        <v>604</v>
      </c>
      <c r="C211" s="34"/>
      <c r="D211" s="84"/>
      <c r="G211" s="79"/>
      <c r="H211" s="84"/>
      <c r="M211" s="84"/>
      <c r="N211" s="84"/>
      <c r="O211" s="100"/>
      <c r="Q211" s="133"/>
      <c r="R211" s="44" t="s">
        <v>350</v>
      </c>
      <c r="S211" s="36"/>
      <c r="T211" s="36" t="s">
        <v>184</v>
      </c>
      <c r="U211" s="36"/>
      <c r="V211" s="36"/>
      <c r="W211" s="36"/>
      <c r="X211" s="36"/>
      <c r="Y211" s="36"/>
      <c r="Z211" s="36"/>
      <c r="AA211" s="36"/>
      <c r="AB211" s="36"/>
      <c r="AC211" s="36"/>
      <c r="AD211" s="36"/>
      <c r="AE211" s="36"/>
      <c r="AF211" s="36"/>
      <c r="AG211" s="36"/>
      <c r="AH211" s="36"/>
      <c r="AI211" s="36"/>
      <c r="AJ211" s="36"/>
      <c r="AK211" s="36"/>
      <c r="AL211" s="36"/>
      <c r="AM211" s="36"/>
      <c r="AN211" s="36"/>
      <c r="AO211" s="36"/>
      <c r="AP211" s="37"/>
      <c r="AQ211" s="37"/>
      <c r="AR211" s="37"/>
      <c r="AS211" s="37"/>
      <c r="AT211" s="37"/>
      <c r="AU211" s="37"/>
      <c r="AV211" s="37"/>
      <c r="AW211" s="37"/>
      <c r="AX211" s="37"/>
      <c r="AY211" s="37"/>
      <c r="AZ211" s="37"/>
      <c r="BA211" s="37"/>
      <c r="BB211" s="37"/>
      <c r="BC211" s="37"/>
      <c r="BD211" s="37"/>
      <c r="BE211" s="37"/>
      <c r="BF211" s="37"/>
      <c r="BG211" s="37"/>
    </row>
    <row r="212" spans="2:59" s="31" customFormat="1" ht="15.5" x14ac:dyDescent="0.3">
      <c r="B212" s="45" t="s">
        <v>603</v>
      </c>
      <c r="C212" s="160"/>
      <c r="D212" s="84" t="s">
        <v>211</v>
      </c>
      <c r="G212" s="79"/>
      <c r="H212" s="84"/>
      <c r="M212" s="84"/>
      <c r="N212" s="84"/>
      <c r="O212" s="100"/>
      <c r="Q212" s="133"/>
      <c r="R212" s="109" t="str">
        <f>IF(ISNUMBER(C212),IF(AND(ISNUMBER(C208),C206="Aggregaatti"),C210*IF(D208="vuosi",365*24,IF(D208="kuukausi",30*24,IF(D208="päivä",24,1)))*Kalusto!$E$23,IF(D208="vuosi",365*24,IF(D208="kuukausi",30*24,IF(D208="päivä",24,1)))*C212*T212/K207),"")</f>
        <v/>
      </c>
      <c r="S212" s="102" t="s">
        <v>172</v>
      </c>
      <c r="T212" s="195" t="str">
        <f>IF(ISNUMBER(C212),IF(C206="Ostosähkö", (K206+Muut!$H$12)/1000/K207,IF(C206="Aurinkopaneelit",(Muut!$H$24+Muut!$H$25)/1000,IF(OR(C206="Bensiini",C206="Diesel"),(Muut!$H$15+Muut!$H$14+Muut!$H$17+Muut!$H$18)/2/K207,"Aggregaatin kerroin"))),"")</f>
        <v/>
      </c>
      <c r="U212" s="36"/>
      <c r="V212" s="36"/>
      <c r="W212" s="36"/>
      <c r="X212" s="36"/>
      <c r="Y212" s="36"/>
      <c r="Z212" s="36"/>
      <c r="AA212" s="36"/>
      <c r="AB212" s="36"/>
      <c r="AC212" s="36"/>
      <c r="AD212" s="36"/>
      <c r="AE212" s="36"/>
      <c r="AF212" s="36"/>
      <c r="AG212" s="36"/>
      <c r="AH212" s="36"/>
      <c r="AI212" s="36"/>
      <c r="AJ212" s="36"/>
      <c r="AK212" s="36"/>
      <c r="AL212" s="36"/>
      <c r="AM212" s="36"/>
      <c r="AN212" s="36"/>
      <c r="AO212" s="36"/>
      <c r="AP212" s="37"/>
      <c r="AQ212" s="37"/>
      <c r="AR212" s="37"/>
      <c r="AS212" s="37"/>
      <c r="AT212" s="37"/>
      <c r="AU212" s="37"/>
      <c r="AV212" s="37"/>
      <c r="AW212" s="37"/>
      <c r="AX212" s="37"/>
      <c r="AY212" s="37"/>
      <c r="AZ212" s="37"/>
      <c r="BA212" s="37"/>
      <c r="BB212" s="37"/>
      <c r="BC212" s="37"/>
      <c r="BD212" s="37"/>
      <c r="BE212" s="37"/>
      <c r="BF212" s="37"/>
      <c r="BG212" s="37"/>
    </row>
    <row r="213" spans="2:59" s="31" customFormat="1" ht="15.5" x14ac:dyDescent="0.3">
      <c r="D213" s="84"/>
      <c r="H213" s="84"/>
      <c r="M213" s="84"/>
      <c r="N213" s="84"/>
      <c r="O213" s="84"/>
      <c r="Q213" s="133"/>
      <c r="R213" s="98"/>
      <c r="S213" s="108"/>
      <c r="T213" s="37"/>
      <c r="U213" s="36"/>
      <c r="V213" s="36"/>
      <c r="W213" s="36"/>
      <c r="X213" s="36"/>
      <c r="Y213" s="36"/>
      <c r="Z213" s="36"/>
      <c r="AA213" s="36"/>
      <c r="AB213" s="36"/>
      <c r="AC213" s="36"/>
      <c r="AD213" s="36"/>
      <c r="AE213" s="36"/>
      <c r="AF213" s="36"/>
      <c r="AG213" s="36"/>
      <c r="AH213" s="36"/>
      <c r="AI213" s="36"/>
      <c r="AJ213" s="36"/>
      <c r="AK213" s="36"/>
      <c r="AL213" s="36"/>
      <c r="AM213" s="36"/>
      <c r="AN213" s="36"/>
      <c r="AO213" s="36"/>
      <c r="AP213" s="37"/>
      <c r="AQ213" s="37"/>
      <c r="AR213" s="37"/>
      <c r="AS213" s="37"/>
      <c r="AT213" s="37"/>
      <c r="AU213" s="37"/>
      <c r="AV213" s="37"/>
      <c r="AW213" s="37"/>
      <c r="AX213" s="37"/>
      <c r="AY213" s="37"/>
      <c r="AZ213" s="37"/>
      <c r="BA213" s="37"/>
      <c r="BB213" s="37"/>
      <c r="BC213" s="37"/>
      <c r="BD213" s="37"/>
      <c r="BE213" s="37"/>
      <c r="BF213" s="37"/>
      <c r="BG213" s="37"/>
    </row>
    <row r="214" spans="2:59" s="298" customFormat="1" ht="18" x14ac:dyDescent="0.3">
      <c r="B214" s="295" t="s">
        <v>325</v>
      </c>
      <c r="C214" s="296"/>
      <c r="D214" s="297"/>
      <c r="G214" s="296"/>
      <c r="H214" s="297"/>
      <c r="K214" s="296"/>
      <c r="L214" s="296"/>
      <c r="M214" s="297"/>
      <c r="N214" s="297"/>
      <c r="O214" s="300"/>
      <c r="P214" s="320"/>
      <c r="Q214" s="304"/>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4"/>
      <c r="AO214" s="304"/>
      <c r="AP214" s="304"/>
      <c r="AQ214" s="304"/>
      <c r="AR214" s="304"/>
      <c r="AS214" s="304"/>
      <c r="AT214" s="304"/>
      <c r="AU214" s="304"/>
      <c r="AV214" s="304"/>
      <c r="AW214" s="304"/>
      <c r="AX214" s="304"/>
      <c r="AY214" s="304"/>
      <c r="AZ214" s="304"/>
      <c r="BA214" s="304"/>
      <c r="BB214" s="304"/>
      <c r="BC214" s="304"/>
      <c r="BD214" s="304"/>
      <c r="BE214" s="304"/>
    </row>
    <row r="215" spans="2:59" s="31" customFormat="1" ht="15.5" x14ac:dyDescent="0.3">
      <c r="B215" s="9"/>
      <c r="C215" s="34"/>
      <c r="D215" s="84"/>
      <c r="G215" s="34"/>
      <c r="H215" s="84"/>
      <c r="J215" s="33"/>
      <c r="K215" s="38" t="s">
        <v>329</v>
      </c>
      <c r="L215" s="38" t="s">
        <v>201</v>
      </c>
      <c r="M215" s="84"/>
      <c r="N215" s="84"/>
      <c r="O215" s="255" t="s">
        <v>644</v>
      </c>
      <c r="Q215" s="133"/>
      <c r="R215" s="44" t="s">
        <v>350</v>
      </c>
      <c r="S215" s="36"/>
      <c r="T215" s="44"/>
      <c r="U215" s="36"/>
      <c r="V215" s="44"/>
      <c r="W215" s="36"/>
      <c r="X215" s="36"/>
      <c r="Y215" s="36"/>
      <c r="Z215" s="36"/>
      <c r="AA215" s="36"/>
      <c r="AB215" s="36"/>
      <c r="AC215" s="36"/>
      <c r="AD215" s="36"/>
      <c r="AE215" s="36"/>
      <c r="AF215" s="36"/>
      <c r="AG215" s="36"/>
      <c r="AH215" s="36"/>
      <c r="AI215" s="36"/>
      <c r="AJ215" s="36"/>
      <c r="AK215" s="36"/>
      <c r="AL215" s="36"/>
      <c r="AM215" s="36"/>
      <c r="AN215" s="36"/>
      <c r="AO215" s="36"/>
      <c r="AP215" s="37"/>
      <c r="AQ215" s="37"/>
      <c r="AR215" s="37"/>
      <c r="AS215" s="37"/>
      <c r="AT215" s="37"/>
      <c r="AU215" s="37"/>
      <c r="AV215" s="37"/>
      <c r="AW215" s="37"/>
      <c r="AX215" s="37"/>
      <c r="AY215" s="37"/>
      <c r="AZ215" s="37"/>
      <c r="BA215" s="37"/>
      <c r="BB215" s="37"/>
      <c r="BC215" s="37"/>
      <c r="BD215" s="37"/>
      <c r="BE215" s="37"/>
      <c r="BF215" s="37"/>
      <c r="BG215" s="37"/>
    </row>
    <row r="216" spans="2:59" s="31" customFormat="1" ht="31" x14ac:dyDescent="0.3">
      <c r="B216" s="78" t="s">
        <v>601</v>
      </c>
      <c r="C216" s="392" t="s">
        <v>314</v>
      </c>
      <c r="D216" s="394"/>
      <c r="E216" s="34"/>
      <c r="G216" s="34"/>
      <c r="H216" s="84"/>
      <c r="J216" s="33" t="s">
        <v>534</v>
      </c>
      <c r="K216" s="138">
        <f>IF(ISNUMBER(L216),L216,Muut!$H$10)</f>
        <v>60</v>
      </c>
      <c r="L216" s="73"/>
      <c r="M216" s="86" t="s">
        <v>535</v>
      </c>
      <c r="N216" s="86"/>
      <c r="O216" s="256"/>
      <c r="Q216" s="133"/>
      <c r="R216" s="109" t="str">
        <f>IF(ISNUMBER(R220),R220,IF(ISNUMBER(R222),R222,""))</f>
        <v/>
      </c>
      <c r="S216" s="102" t="s">
        <v>172</v>
      </c>
      <c r="T216" s="44"/>
      <c r="U216" s="36"/>
      <c r="V216" s="44"/>
      <c r="W216" s="36"/>
      <c r="X216" s="36"/>
      <c r="Y216" s="36"/>
      <c r="Z216" s="36"/>
      <c r="AA216" s="36"/>
      <c r="AB216" s="36"/>
      <c r="AC216" s="36"/>
      <c r="AD216" s="36"/>
      <c r="AE216" s="36"/>
      <c r="AF216" s="36"/>
      <c r="AG216" s="36"/>
      <c r="AH216" s="36"/>
      <c r="AI216" s="36"/>
      <c r="AJ216" s="36"/>
      <c r="AK216" s="36"/>
      <c r="AL216" s="36"/>
      <c r="AM216" s="36"/>
      <c r="AN216" s="36"/>
      <c r="AO216" s="36"/>
      <c r="AP216" s="37"/>
      <c r="AQ216" s="37"/>
      <c r="AR216" s="37"/>
      <c r="AS216" s="37"/>
      <c r="AT216" s="37"/>
      <c r="AU216" s="37"/>
      <c r="AV216" s="37"/>
      <c r="AW216" s="37"/>
      <c r="AX216" s="37"/>
      <c r="AY216" s="37"/>
      <c r="AZ216" s="37"/>
      <c r="BA216" s="37"/>
      <c r="BB216" s="37"/>
      <c r="BC216" s="37"/>
      <c r="BD216" s="37"/>
      <c r="BE216" s="37"/>
      <c r="BF216" s="37"/>
      <c r="BG216" s="37"/>
    </row>
    <row r="217" spans="2:59" s="31" customFormat="1" ht="15.5" x14ac:dyDescent="0.3">
      <c r="B217" s="170" t="s">
        <v>536</v>
      </c>
      <c r="C217" s="160"/>
      <c r="D217" s="84" t="s">
        <v>8</v>
      </c>
      <c r="E217" s="34"/>
      <c r="G217" s="34"/>
      <c r="H217" s="84"/>
      <c r="J217" s="33" t="s">
        <v>537</v>
      </c>
      <c r="K217" s="96">
        <f>IF(ISNUMBER(L217),L217,IF(OR(C216="Bensiini",C216="Diesel"),Muut!$H$34,Muut!$H$35))</f>
        <v>0.95</v>
      </c>
      <c r="L217" s="175" t="str">
        <f>IF(ISNUMBER(C217),C217,"--")</f>
        <v>--</v>
      </c>
      <c r="M217" s="86"/>
      <c r="N217" s="86"/>
      <c r="O217" s="266"/>
      <c r="Q217" s="35"/>
      <c r="R217" s="61"/>
      <c r="S217" s="102"/>
      <c r="T217" s="44"/>
      <c r="U217" s="36"/>
      <c r="V217" s="36"/>
      <c r="W217" s="36"/>
      <c r="X217" s="36"/>
      <c r="Y217" s="36"/>
      <c r="Z217" s="36"/>
      <c r="AA217" s="36"/>
      <c r="AB217" s="36"/>
      <c r="AC217" s="36"/>
      <c r="AD217" s="36"/>
      <c r="AE217" s="36"/>
      <c r="AF217" s="36"/>
      <c r="AG217" s="36"/>
      <c r="AH217" s="36"/>
      <c r="AI217" s="36"/>
      <c r="AJ217" s="36"/>
      <c r="AK217" s="36"/>
      <c r="AL217" s="36"/>
      <c r="AM217" s="36"/>
      <c r="AN217" s="37"/>
      <c r="AO217" s="37"/>
      <c r="AP217" s="37"/>
      <c r="AQ217" s="37"/>
      <c r="AR217" s="37"/>
      <c r="AS217" s="37"/>
      <c r="AT217" s="37"/>
      <c r="AU217" s="37"/>
      <c r="AV217" s="37"/>
      <c r="AW217" s="37"/>
      <c r="AX217" s="37"/>
      <c r="AY217" s="37"/>
      <c r="AZ217" s="37"/>
      <c r="BA217" s="37"/>
      <c r="BB217" s="37"/>
      <c r="BC217" s="37"/>
      <c r="BD217" s="37"/>
      <c r="BE217" s="37"/>
    </row>
    <row r="218" spans="2:59" s="31" customFormat="1" ht="15.5" x14ac:dyDescent="0.3">
      <c r="B218" s="54" t="s">
        <v>315</v>
      </c>
      <c r="C218" s="160"/>
      <c r="D218" s="94" t="s">
        <v>301</v>
      </c>
      <c r="E218" s="79"/>
      <c r="G218" s="79"/>
      <c r="H218" s="84"/>
      <c r="M218" s="84"/>
      <c r="N218" s="84"/>
      <c r="O218" s="100"/>
      <c r="Q218" s="133"/>
      <c r="R218" s="99"/>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7"/>
      <c r="AQ218" s="37"/>
      <c r="AR218" s="37"/>
      <c r="AS218" s="37"/>
      <c r="AT218" s="37"/>
      <c r="AU218" s="37"/>
      <c r="AV218" s="37"/>
      <c r="AW218" s="37"/>
      <c r="AX218" s="37"/>
      <c r="AY218" s="37"/>
      <c r="AZ218" s="37"/>
      <c r="BA218" s="37"/>
      <c r="BB218" s="37"/>
      <c r="BC218" s="37"/>
      <c r="BD218" s="37"/>
      <c r="BE218" s="37"/>
      <c r="BF218" s="37"/>
      <c r="BG218" s="37"/>
    </row>
    <row r="219" spans="2:59" s="31" customFormat="1" ht="15.5" x14ac:dyDescent="0.3">
      <c r="B219" s="54" t="s">
        <v>600</v>
      </c>
      <c r="C219" s="34"/>
      <c r="D219" s="84"/>
      <c r="G219" s="34"/>
      <c r="H219" s="84"/>
      <c r="J219" s="33"/>
      <c r="K219" s="38"/>
      <c r="L219" s="38"/>
      <c r="M219" s="84"/>
      <c r="N219" s="84"/>
      <c r="O219" s="100"/>
      <c r="Q219" s="133"/>
      <c r="R219" s="44" t="s">
        <v>350</v>
      </c>
      <c r="S219" s="36"/>
      <c r="T219" s="36" t="s">
        <v>184</v>
      </c>
      <c r="U219" s="36"/>
      <c r="V219" s="36"/>
      <c r="W219" s="36"/>
      <c r="X219" s="36"/>
      <c r="Y219" s="36"/>
      <c r="Z219" s="36"/>
      <c r="AA219" s="36"/>
      <c r="AB219" s="36"/>
      <c r="AC219" s="36"/>
      <c r="AD219" s="36"/>
      <c r="AE219" s="36"/>
      <c r="AF219" s="36"/>
      <c r="AG219" s="36"/>
      <c r="AH219" s="36"/>
      <c r="AI219" s="36"/>
      <c r="AJ219" s="36"/>
      <c r="AK219" s="36"/>
      <c r="AL219" s="36"/>
      <c r="AM219" s="36"/>
      <c r="AN219" s="36"/>
      <c r="AO219" s="36"/>
      <c r="AP219" s="37"/>
      <c r="AQ219" s="37"/>
      <c r="AR219" s="37"/>
      <c r="AS219" s="37"/>
      <c r="AT219" s="37"/>
      <c r="AU219" s="37"/>
      <c r="AV219" s="37"/>
      <c r="AW219" s="37"/>
      <c r="AX219" s="37"/>
      <c r="AY219" s="37"/>
      <c r="AZ219" s="37"/>
      <c r="BA219" s="37"/>
      <c r="BB219" s="37"/>
      <c r="BC219" s="37"/>
      <c r="BD219" s="37"/>
      <c r="BE219" s="37"/>
      <c r="BF219" s="37"/>
      <c r="BG219" s="37"/>
    </row>
    <row r="220" spans="2:59" s="31" customFormat="1" ht="31" x14ac:dyDescent="0.3">
      <c r="B220" s="170" t="s">
        <v>605</v>
      </c>
      <c r="C220" s="156"/>
      <c r="D220" s="84" t="s">
        <v>296</v>
      </c>
      <c r="E220" s="34"/>
      <c r="G220" s="34"/>
      <c r="H220" s="84"/>
      <c r="M220" s="84"/>
      <c r="N220" s="84"/>
      <c r="O220" s="100"/>
      <c r="Q220" s="133"/>
      <c r="R220" s="109" t="str">
        <f>IF(ISNUMBER(C220),IF(AND(ISNUMBER(C218),C216="Aggregaatti"),C218*IF(D218="vuosi",365*24,IF(D218="kuukausi",30*24,IF(D218="päivä",24,1)))*Kalusto!$E$23,C220*T220),"")</f>
        <v/>
      </c>
      <c r="S220" s="102" t="s">
        <v>172</v>
      </c>
      <c r="T220" s="195" t="str">
        <f>IF(ISNUMBER(C220),IF(C216="Ostosähkö", (K216+Muut!$H$12)/1000,IF(C216="Aurinkopaneelit",(Muut!$H$24+Muut!$H$25)/1000,IF(OR(C216="Bensiini",C216="Diesel"),(Muut!$H$15+Muut!$H$14+Muut!$H$17+Muut!$H$18)/2,"Aggregaatin kerroin"))),"")</f>
        <v/>
      </c>
      <c r="U220" s="36"/>
      <c r="V220" s="36"/>
      <c r="W220" s="36"/>
      <c r="X220" s="36"/>
      <c r="Y220" s="36"/>
      <c r="Z220" s="36"/>
      <c r="AA220" s="36"/>
      <c r="AB220" s="36"/>
      <c r="AC220" s="36"/>
      <c r="AD220" s="36"/>
      <c r="AE220" s="36"/>
      <c r="AF220" s="36"/>
      <c r="AG220" s="36"/>
      <c r="AH220" s="36"/>
      <c r="AI220" s="36"/>
      <c r="AJ220" s="36"/>
      <c r="AK220" s="36"/>
      <c r="AL220" s="36"/>
      <c r="AM220" s="36"/>
      <c r="AN220" s="36"/>
      <c r="AO220" s="36"/>
      <c r="AP220" s="37"/>
      <c r="AQ220" s="37"/>
      <c r="AR220" s="37"/>
      <c r="AS220" s="37"/>
      <c r="AT220" s="37"/>
      <c r="AU220" s="37"/>
      <c r="AV220" s="37"/>
      <c r="AW220" s="37"/>
      <c r="AX220" s="37"/>
      <c r="AY220" s="37"/>
      <c r="AZ220" s="37"/>
      <c r="BA220" s="37"/>
      <c r="BB220" s="37"/>
      <c r="BC220" s="37"/>
      <c r="BD220" s="37"/>
      <c r="BE220" s="37"/>
      <c r="BF220" s="37"/>
      <c r="BG220" s="37"/>
    </row>
    <row r="221" spans="2:59" s="31" customFormat="1" ht="15.5" x14ac:dyDescent="0.3">
      <c r="B221" s="54" t="s">
        <v>604</v>
      </c>
      <c r="C221" s="34"/>
      <c r="D221" s="84"/>
      <c r="G221" s="79"/>
      <c r="H221" s="84"/>
      <c r="M221" s="84"/>
      <c r="N221" s="84"/>
      <c r="O221" s="100"/>
      <c r="Q221" s="133"/>
      <c r="R221" s="44" t="s">
        <v>350</v>
      </c>
      <c r="S221" s="36"/>
      <c r="T221" s="36" t="s">
        <v>184</v>
      </c>
      <c r="U221" s="36"/>
      <c r="V221" s="36"/>
      <c r="W221" s="36"/>
      <c r="X221" s="36"/>
      <c r="Y221" s="36"/>
      <c r="Z221" s="36"/>
      <c r="AA221" s="36"/>
      <c r="AB221" s="36"/>
      <c r="AC221" s="36"/>
      <c r="AD221" s="36"/>
      <c r="AE221" s="36"/>
      <c r="AF221" s="36"/>
      <c r="AG221" s="36"/>
      <c r="AH221" s="36"/>
      <c r="AI221" s="36"/>
      <c r="AJ221" s="36"/>
      <c r="AK221" s="36"/>
      <c r="AL221" s="36"/>
      <c r="AM221" s="36"/>
      <c r="AN221" s="36"/>
      <c r="AO221" s="36"/>
      <c r="AP221" s="37"/>
      <c r="AQ221" s="37"/>
      <c r="AR221" s="37"/>
      <c r="AS221" s="37"/>
      <c r="AT221" s="37"/>
      <c r="AU221" s="37"/>
      <c r="AV221" s="37"/>
      <c r="AW221" s="37"/>
      <c r="AX221" s="37"/>
      <c r="AY221" s="37"/>
      <c r="AZ221" s="37"/>
      <c r="BA221" s="37"/>
      <c r="BB221" s="37"/>
      <c r="BC221" s="37"/>
      <c r="BD221" s="37"/>
      <c r="BE221" s="37"/>
      <c r="BF221" s="37"/>
      <c r="BG221" s="37"/>
    </row>
    <row r="222" spans="2:59" s="31" customFormat="1" ht="15.5" x14ac:dyDescent="0.3">
      <c r="B222" s="45" t="s">
        <v>603</v>
      </c>
      <c r="C222" s="160"/>
      <c r="D222" s="84" t="s">
        <v>211</v>
      </c>
      <c r="G222" s="79"/>
      <c r="H222" s="84"/>
      <c r="M222" s="84"/>
      <c r="N222" s="84"/>
      <c r="O222" s="100"/>
      <c r="Q222" s="133"/>
      <c r="R222" s="109" t="str">
        <f>IF(ISNUMBER(C222),IF(AND(ISNUMBER(C218),C216="Aggregaatti"),C220*IF(D218="vuosi",365*24,IF(D218="kuukausi",30*24,IF(D218="päivä",24,1)))*Kalusto!$E$23,IF(D218="vuosi",365*24,IF(D218="kuukausi",30*24,IF(D218="päivä",24,1)))*C222*T222/K217),"")</f>
        <v/>
      </c>
      <c r="S222" s="102" t="s">
        <v>172</v>
      </c>
      <c r="T222" s="195" t="str">
        <f>IF(ISNUMBER(C222),IF(C216="Ostosähkö", (K216+Muut!$H$12)/1000/K217,IF(C216="Aurinkopaneelit",(Muut!$H$24+Muut!$H$25)/1000,IF(OR(C216="Bensiini",C216="Diesel"),(Muut!$H$15+Muut!$H$14+Muut!$H$17+Muut!$H$18)/2/K217,"Aggregaatin kerroin"))),"")</f>
        <v/>
      </c>
      <c r="U222" s="36"/>
      <c r="V222" s="36"/>
      <c r="W222" s="36"/>
      <c r="X222" s="36"/>
      <c r="Y222" s="36"/>
      <c r="Z222" s="36"/>
      <c r="AA222" s="36"/>
      <c r="AB222" s="36"/>
      <c r="AC222" s="36"/>
      <c r="AD222" s="36"/>
      <c r="AE222" s="36"/>
      <c r="AF222" s="36"/>
      <c r="AG222" s="36"/>
      <c r="AH222" s="36"/>
      <c r="AI222" s="36"/>
      <c r="AJ222" s="36"/>
      <c r="AK222" s="36"/>
      <c r="AL222" s="36"/>
      <c r="AM222" s="36"/>
      <c r="AN222" s="36"/>
      <c r="AO222" s="36"/>
      <c r="AP222" s="37"/>
      <c r="AQ222" s="37"/>
      <c r="AR222" s="37"/>
      <c r="AS222" s="37"/>
      <c r="AT222" s="37"/>
      <c r="AU222" s="37"/>
      <c r="AV222" s="37"/>
      <c r="AW222" s="37"/>
      <c r="AX222" s="37"/>
      <c r="AY222" s="37"/>
      <c r="AZ222" s="37"/>
      <c r="BA222" s="37"/>
      <c r="BB222" s="37"/>
      <c r="BC222" s="37"/>
      <c r="BD222" s="37"/>
      <c r="BE222" s="37"/>
      <c r="BF222" s="37"/>
      <c r="BG222" s="37"/>
    </row>
    <row r="223" spans="2:59" s="31" customFormat="1" ht="15.5" x14ac:dyDescent="0.3">
      <c r="D223" s="84"/>
      <c r="H223" s="84"/>
      <c r="M223" s="84"/>
      <c r="N223" s="84"/>
      <c r="O223" s="84"/>
      <c r="Q223" s="133"/>
      <c r="R223" s="98"/>
      <c r="S223" s="108"/>
      <c r="T223" s="37"/>
      <c r="U223" s="36"/>
      <c r="V223" s="36"/>
      <c r="W223" s="36"/>
      <c r="X223" s="36"/>
      <c r="Y223" s="36"/>
      <c r="Z223" s="36"/>
      <c r="AA223" s="36"/>
      <c r="AB223" s="36"/>
      <c r="AC223" s="36"/>
      <c r="AD223" s="36"/>
      <c r="AE223" s="36"/>
      <c r="AF223" s="36"/>
      <c r="AG223" s="36"/>
      <c r="AH223" s="36"/>
      <c r="AI223" s="36"/>
      <c r="AJ223" s="36"/>
      <c r="AK223" s="36"/>
      <c r="AL223" s="36"/>
      <c r="AM223" s="36"/>
      <c r="AN223" s="36"/>
      <c r="AO223" s="36"/>
      <c r="AP223" s="37"/>
      <c r="AQ223" s="37"/>
      <c r="AR223" s="37"/>
      <c r="AS223" s="37"/>
      <c r="AT223" s="37"/>
      <c r="AU223" s="37"/>
      <c r="AV223" s="37"/>
      <c r="AW223" s="37"/>
      <c r="AX223" s="37"/>
      <c r="AY223" s="37"/>
      <c r="AZ223" s="37"/>
      <c r="BA223" s="37"/>
      <c r="BB223" s="37"/>
      <c r="BC223" s="37"/>
      <c r="BD223" s="37"/>
      <c r="BE223" s="37"/>
      <c r="BF223" s="37"/>
      <c r="BG223" s="37"/>
    </row>
    <row r="224" spans="2:59" s="298" customFormat="1" ht="18" x14ac:dyDescent="0.3">
      <c r="B224" s="295" t="s">
        <v>320</v>
      </c>
      <c r="C224" s="296"/>
      <c r="D224" s="297"/>
      <c r="G224" s="296"/>
      <c r="H224" s="297"/>
      <c r="K224" s="296"/>
      <c r="L224" s="296"/>
      <c r="M224" s="297"/>
      <c r="N224" s="297"/>
      <c r="O224" s="300"/>
      <c r="P224" s="320"/>
      <c r="Q224" s="304"/>
      <c r="S224" s="303"/>
      <c r="T224" s="303"/>
      <c r="U224" s="303"/>
      <c r="V224" s="303"/>
      <c r="W224" s="303"/>
      <c r="X224" s="303"/>
      <c r="Y224" s="303"/>
      <c r="Z224" s="303"/>
      <c r="AA224" s="303"/>
      <c r="AB224" s="303"/>
      <c r="AC224" s="303"/>
      <c r="AD224" s="303"/>
      <c r="AE224" s="303"/>
      <c r="AF224" s="303"/>
      <c r="AG224" s="303"/>
      <c r="AH224" s="303"/>
      <c r="AI224" s="303"/>
      <c r="AJ224" s="303"/>
      <c r="AK224" s="303"/>
      <c r="AL224" s="303"/>
      <c r="AM224" s="303"/>
      <c r="AN224" s="304"/>
      <c r="AO224" s="304"/>
      <c r="AP224" s="304"/>
      <c r="AQ224" s="304"/>
      <c r="AR224" s="304"/>
      <c r="AS224" s="304"/>
      <c r="AT224" s="304"/>
      <c r="AU224" s="304"/>
      <c r="AV224" s="304"/>
      <c r="AW224" s="304"/>
      <c r="AX224" s="304"/>
      <c r="AY224" s="304"/>
      <c r="AZ224" s="304"/>
      <c r="BA224" s="304"/>
      <c r="BB224" s="304"/>
      <c r="BC224" s="304"/>
      <c r="BD224" s="304"/>
      <c r="BE224" s="304"/>
    </row>
    <row r="225" spans="2:59" s="31" customFormat="1" ht="15.5" x14ac:dyDescent="0.3">
      <c r="B225" s="9"/>
      <c r="C225" s="34"/>
      <c r="D225" s="84"/>
      <c r="G225" s="34"/>
      <c r="H225" s="84"/>
      <c r="J225" s="33"/>
      <c r="K225" s="38" t="s">
        <v>329</v>
      </c>
      <c r="L225" s="38" t="s">
        <v>201</v>
      </c>
      <c r="M225" s="84"/>
      <c r="N225" s="84"/>
      <c r="O225" s="255" t="s">
        <v>644</v>
      </c>
      <c r="Q225" s="133"/>
      <c r="R225" s="44" t="s">
        <v>350</v>
      </c>
      <c r="S225" s="36"/>
      <c r="T225" s="44"/>
      <c r="U225" s="36"/>
      <c r="V225" s="44"/>
      <c r="W225" s="36"/>
      <c r="X225" s="36"/>
      <c r="Y225" s="36"/>
      <c r="Z225" s="36"/>
      <c r="AA225" s="36"/>
      <c r="AB225" s="36"/>
      <c r="AC225" s="36"/>
      <c r="AD225" s="36"/>
      <c r="AE225" s="36"/>
      <c r="AF225" s="36"/>
      <c r="AG225" s="36"/>
      <c r="AH225" s="36"/>
      <c r="AI225" s="36"/>
      <c r="AJ225" s="36"/>
      <c r="AK225" s="36"/>
      <c r="AL225" s="36"/>
      <c r="AM225" s="36"/>
      <c r="AN225" s="36"/>
      <c r="AO225" s="36"/>
      <c r="AP225" s="37"/>
      <c r="AQ225" s="37"/>
      <c r="AR225" s="37"/>
      <c r="AS225" s="37"/>
      <c r="AT225" s="37"/>
      <c r="AU225" s="37"/>
      <c r="AV225" s="37"/>
      <c r="AW225" s="37"/>
      <c r="AX225" s="37"/>
      <c r="AY225" s="37"/>
      <c r="AZ225" s="37"/>
      <c r="BA225" s="37"/>
      <c r="BB225" s="37"/>
      <c r="BC225" s="37"/>
      <c r="BD225" s="37"/>
      <c r="BE225" s="37"/>
      <c r="BF225" s="37"/>
      <c r="BG225" s="37"/>
    </row>
    <row r="226" spans="2:59" s="31" customFormat="1" ht="31" x14ac:dyDescent="0.3">
      <c r="B226" s="78" t="s">
        <v>601</v>
      </c>
      <c r="C226" s="392" t="s">
        <v>314</v>
      </c>
      <c r="D226" s="394"/>
      <c r="E226" s="34"/>
      <c r="G226" s="34"/>
      <c r="H226" s="84"/>
      <c r="J226" s="33" t="s">
        <v>534</v>
      </c>
      <c r="K226" s="138">
        <f>IF(ISNUMBER(L226),L226,Muut!$H$10)</f>
        <v>60</v>
      </c>
      <c r="L226" s="73"/>
      <c r="M226" s="86" t="s">
        <v>535</v>
      </c>
      <c r="N226" s="86"/>
      <c r="O226" s="256"/>
      <c r="Q226" s="133"/>
      <c r="R226" s="109" t="str">
        <f>IF(ISNUMBER(R230),R230,IF(ISNUMBER(R232),R232,""))</f>
        <v/>
      </c>
      <c r="S226" s="102" t="s">
        <v>172</v>
      </c>
      <c r="T226" s="44"/>
      <c r="U226" s="36"/>
      <c r="V226" s="44"/>
      <c r="W226" s="36"/>
      <c r="X226" s="36"/>
      <c r="Y226" s="36"/>
      <c r="Z226" s="36"/>
      <c r="AA226" s="36"/>
      <c r="AB226" s="36"/>
      <c r="AC226" s="36"/>
      <c r="AD226" s="36"/>
      <c r="AE226" s="36"/>
      <c r="AF226" s="36"/>
      <c r="AG226" s="36"/>
      <c r="AH226" s="36"/>
      <c r="AI226" s="36"/>
      <c r="AJ226" s="36"/>
      <c r="AK226" s="36"/>
      <c r="AL226" s="36"/>
      <c r="AM226" s="36"/>
      <c r="AN226" s="36"/>
      <c r="AO226" s="36"/>
      <c r="AP226" s="37"/>
      <c r="AQ226" s="37"/>
      <c r="AR226" s="37"/>
      <c r="AS226" s="37"/>
      <c r="AT226" s="37"/>
      <c r="AU226" s="37"/>
      <c r="AV226" s="37"/>
      <c r="AW226" s="37"/>
      <c r="AX226" s="37"/>
      <c r="AY226" s="37"/>
      <c r="AZ226" s="37"/>
      <c r="BA226" s="37"/>
      <c r="BB226" s="37"/>
      <c r="BC226" s="37"/>
      <c r="BD226" s="37"/>
      <c r="BE226" s="37"/>
      <c r="BF226" s="37"/>
      <c r="BG226" s="37"/>
    </row>
    <row r="227" spans="2:59" s="31" customFormat="1" ht="15.5" x14ac:dyDescent="0.3">
      <c r="B227" s="170" t="s">
        <v>536</v>
      </c>
      <c r="C227" s="160"/>
      <c r="D227" s="84" t="s">
        <v>8</v>
      </c>
      <c r="E227" s="34"/>
      <c r="G227" s="34"/>
      <c r="H227" s="84"/>
      <c r="J227" s="33" t="s">
        <v>537</v>
      </c>
      <c r="K227" s="96">
        <f>IF(ISNUMBER(L227),L227,IF(OR(C226="Bensiini",C226="Diesel"),Muut!$H$34,Muut!$H$35))</f>
        <v>0.95</v>
      </c>
      <c r="L227" s="175" t="str">
        <f>IF(ISNUMBER(C227),C227,"--")</f>
        <v>--</v>
      </c>
      <c r="M227" s="86"/>
      <c r="N227" s="86"/>
      <c r="O227" s="266"/>
      <c r="Q227" s="35"/>
      <c r="R227" s="61"/>
      <c r="S227" s="102"/>
      <c r="T227" s="44"/>
      <c r="U227" s="36"/>
      <c r="V227" s="36"/>
      <c r="W227" s="36"/>
      <c r="X227" s="36"/>
      <c r="Y227" s="36"/>
      <c r="Z227" s="36"/>
      <c r="AA227" s="36"/>
      <c r="AB227" s="36"/>
      <c r="AC227" s="36"/>
      <c r="AD227" s="36"/>
      <c r="AE227" s="36"/>
      <c r="AF227" s="36"/>
      <c r="AG227" s="36"/>
      <c r="AH227" s="36"/>
      <c r="AI227" s="36"/>
      <c r="AJ227" s="36"/>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9" s="31" customFormat="1" ht="15.5" x14ac:dyDescent="0.3">
      <c r="B228" s="54" t="s">
        <v>315</v>
      </c>
      <c r="C228" s="160"/>
      <c r="D228" s="94" t="s">
        <v>301</v>
      </c>
      <c r="E228" s="79"/>
      <c r="G228" s="79"/>
      <c r="H228" s="84"/>
      <c r="M228" s="84"/>
      <c r="N228" s="84"/>
      <c r="O228" s="100"/>
      <c r="Q228" s="133"/>
      <c r="R228" s="99"/>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7"/>
      <c r="AQ228" s="37"/>
      <c r="AR228" s="37"/>
      <c r="AS228" s="37"/>
      <c r="AT228" s="37"/>
      <c r="AU228" s="37"/>
      <c r="AV228" s="37"/>
      <c r="AW228" s="37"/>
      <c r="AX228" s="37"/>
      <c r="AY228" s="37"/>
      <c r="AZ228" s="37"/>
      <c r="BA228" s="37"/>
      <c r="BB228" s="37"/>
      <c r="BC228" s="37"/>
      <c r="BD228" s="37"/>
      <c r="BE228" s="37"/>
      <c r="BF228" s="37"/>
      <c r="BG228" s="37"/>
    </row>
    <row r="229" spans="2:59" s="31" customFormat="1" ht="15.5" x14ac:dyDescent="0.3">
      <c r="B229" s="54" t="s">
        <v>600</v>
      </c>
      <c r="C229" s="34"/>
      <c r="D229" s="84"/>
      <c r="G229" s="34"/>
      <c r="H229" s="84"/>
      <c r="J229" s="33"/>
      <c r="K229" s="38"/>
      <c r="L229" s="38"/>
      <c r="M229" s="84"/>
      <c r="N229" s="84"/>
      <c r="O229" s="100"/>
      <c r="Q229" s="133"/>
      <c r="R229" s="44" t="s">
        <v>350</v>
      </c>
      <c r="S229" s="36"/>
      <c r="T229" s="36" t="s">
        <v>184</v>
      </c>
      <c r="U229" s="36"/>
      <c r="V229" s="36"/>
      <c r="W229" s="36"/>
      <c r="X229" s="36"/>
      <c r="Y229" s="36"/>
      <c r="Z229" s="36"/>
      <c r="AA229" s="36"/>
      <c r="AB229" s="36"/>
      <c r="AC229" s="36"/>
      <c r="AD229" s="36"/>
      <c r="AE229" s="36"/>
      <c r="AF229" s="36"/>
      <c r="AG229" s="36"/>
      <c r="AH229" s="36"/>
      <c r="AI229" s="36"/>
      <c r="AJ229" s="36"/>
      <c r="AK229" s="36"/>
      <c r="AL229" s="36"/>
      <c r="AM229" s="36"/>
      <c r="AN229" s="36"/>
      <c r="AO229" s="36"/>
      <c r="AP229" s="37"/>
      <c r="AQ229" s="37"/>
      <c r="AR229" s="37"/>
      <c r="AS229" s="37"/>
      <c r="AT229" s="37"/>
      <c r="AU229" s="37"/>
      <c r="AV229" s="37"/>
      <c r="AW229" s="37"/>
      <c r="AX229" s="37"/>
      <c r="AY229" s="37"/>
      <c r="AZ229" s="37"/>
      <c r="BA229" s="37"/>
      <c r="BB229" s="37"/>
      <c r="BC229" s="37"/>
      <c r="BD229" s="37"/>
      <c r="BE229" s="37"/>
      <c r="BF229" s="37"/>
      <c r="BG229" s="37"/>
    </row>
    <row r="230" spans="2:59" s="31" customFormat="1" ht="31" x14ac:dyDescent="0.3">
      <c r="B230" s="170" t="s">
        <v>605</v>
      </c>
      <c r="C230" s="156"/>
      <c r="D230" s="84" t="s">
        <v>296</v>
      </c>
      <c r="E230" s="34"/>
      <c r="G230" s="34"/>
      <c r="H230" s="84"/>
      <c r="M230" s="84"/>
      <c r="N230" s="84"/>
      <c r="O230" s="100"/>
      <c r="Q230" s="133"/>
      <c r="R230" s="109" t="str">
        <f>IF(ISNUMBER(C230),IF(AND(ISNUMBER(C228),C226="Aggregaatti"),C228*IF(D228="vuosi",365*24,IF(D228="kuukausi",30*24,IF(D228="päivä",24,1)))*Kalusto!$E$23,C230*T230),"")</f>
        <v/>
      </c>
      <c r="S230" s="102" t="s">
        <v>172</v>
      </c>
      <c r="T230" s="195" t="str">
        <f>IF(ISNUMBER(C230),IF(C226="Ostosähkö", (K226+Muut!$H$12)/1000,IF(C226="Aurinkopaneelit",(Muut!$H$24+Muut!$H$25)/1000,IF(OR(C226="Bensiini",C226="Diesel"),(Muut!$H$15+Muut!$H$14+Muut!$H$17+Muut!$H$18)/2,"Aggregaatin kerroin"))),"")</f>
        <v/>
      </c>
      <c r="U230" s="36"/>
      <c r="V230" s="36"/>
      <c r="W230" s="36"/>
      <c r="X230" s="36"/>
      <c r="Y230" s="36"/>
      <c r="Z230" s="36"/>
      <c r="AA230" s="36"/>
      <c r="AB230" s="36"/>
      <c r="AC230" s="36"/>
      <c r="AD230" s="36"/>
      <c r="AE230" s="36"/>
      <c r="AF230" s="36"/>
      <c r="AG230" s="36"/>
      <c r="AH230" s="36"/>
      <c r="AI230" s="36"/>
      <c r="AJ230" s="36"/>
      <c r="AK230" s="36"/>
      <c r="AL230" s="36"/>
      <c r="AM230" s="36"/>
      <c r="AN230" s="36"/>
      <c r="AO230" s="36"/>
      <c r="AP230" s="37"/>
      <c r="AQ230" s="37"/>
      <c r="AR230" s="37"/>
      <c r="AS230" s="37"/>
      <c r="AT230" s="37"/>
      <c r="AU230" s="37"/>
      <c r="AV230" s="37"/>
      <c r="AW230" s="37"/>
      <c r="AX230" s="37"/>
      <c r="AY230" s="37"/>
      <c r="AZ230" s="37"/>
      <c r="BA230" s="37"/>
      <c r="BB230" s="37"/>
      <c r="BC230" s="37"/>
      <c r="BD230" s="37"/>
      <c r="BE230" s="37"/>
      <c r="BF230" s="37"/>
      <c r="BG230" s="37"/>
    </row>
    <row r="231" spans="2:59" s="31" customFormat="1" ht="15.5" x14ac:dyDescent="0.3">
      <c r="B231" s="54" t="s">
        <v>604</v>
      </c>
      <c r="C231" s="34"/>
      <c r="D231" s="84"/>
      <c r="G231" s="79"/>
      <c r="H231" s="84"/>
      <c r="M231" s="84"/>
      <c r="N231" s="84"/>
      <c r="O231" s="100"/>
      <c r="Q231" s="133"/>
      <c r="R231" s="44" t="s">
        <v>350</v>
      </c>
      <c r="S231" s="36"/>
      <c r="T231" s="36" t="s">
        <v>184</v>
      </c>
      <c r="U231" s="36"/>
      <c r="V231" s="36"/>
      <c r="W231" s="36"/>
      <c r="X231" s="36"/>
      <c r="Y231" s="36"/>
      <c r="Z231" s="36"/>
      <c r="AA231" s="36"/>
      <c r="AB231" s="36"/>
      <c r="AC231" s="36"/>
      <c r="AD231" s="36"/>
      <c r="AE231" s="36"/>
      <c r="AF231" s="36"/>
      <c r="AG231" s="36"/>
      <c r="AH231" s="36"/>
      <c r="AI231" s="36"/>
      <c r="AJ231" s="36"/>
      <c r="AK231" s="36"/>
      <c r="AL231" s="36"/>
      <c r="AM231" s="36"/>
      <c r="AN231" s="36"/>
      <c r="AO231" s="36"/>
      <c r="AP231" s="37"/>
      <c r="AQ231" s="37"/>
      <c r="AR231" s="37"/>
      <c r="AS231" s="37"/>
      <c r="AT231" s="37"/>
      <c r="AU231" s="37"/>
      <c r="AV231" s="37"/>
      <c r="AW231" s="37"/>
      <c r="AX231" s="37"/>
      <c r="AY231" s="37"/>
      <c r="AZ231" s="37"/>
      <c r="BA231" s="37"/>
      <c r="BB231" s="37"/>
      <c r="BC231" s="37"/>
      <c r="BD231" s="37"/>
      <c r="BE231" s="37"/>
      <c r="BF231" s="37"/>
      <c r="BG231" s="37"/>
    </row>
    <row r="232" spans="2:59" s="31" customFormat="1" ht="15.5" x14ac:dyDescent="0.3">
      <c r="B232" s="45" t="s">
        <v>603</v>
      </c>
      <c r="C232" s="160"/>
      <c r="D232" s="84" t="s">
        <v>211</v>
      </c>
      <c r="G232" s="79"/>
      <c r="H232" s="84"/>
      <c r="M232" s="84"/>
      <c r="N232" s="84"/>
      <c r="O232" s="100"/>
      <c r="Q232" s="133"/>
      <c r="R232" s="109" t="str">
        <f>IF(ISNUMBER(C232),IF(AND(ISNUMBER(C228),C226="Aggregaatti"),C230*IF(D228="vuosi",365*24,IF(D228="kuukausi",30*24,IF(D228="päivä",24,1)))*Kalusto!$E$23,IF(D228="vuosi",365*24,IF(D228="kuukausi",30*24,IF(D228="päivä",24,1)))*C232*T232/K227),"")</f>
        <v/>
      </c>
      <c r="S232" s="102" t="s">
        <v>172</v>
      </c>
      <c r="T232" s="195" t="str">
        <f>IF(ISNUMBER(C232),IF(C226="Ostosähkö", (K226+Muut!$H$12)/1000/K227,IF(C226="Aurinkopaneelit",(Muut!$H$24+Muut!$H$25)/1000,IF(OR(C226="Bensiini",C226="Diesel"),(Muut!$H$15+Muut!$H$14+Muut!$H$17+Muut!$H$18)/2/K227,"Aggregaatin kerroin"))),"")</f>
        <v/>
      </c>
      <c r="U232" s="36"/>
      <c r="V232" s="36"/>
      <c r="W232" s="36"/>
      <c r="X232" s="36"/>
      <c r="Y232" s="36"/>
      <c r="Z232" s="36"/>
      <c r="AA232" s="36"/>
      <c r="AB232" s="36"/>
      <c r="AC232" s="36"/>
      <c r="AD232" s="36"/>
      <c r="AE232" s="36"/>
      <c r="AF232" s="36"/>
      <c r="AG232" s="36"/>
      <c r="AH232" s="36"/>
      <c r="AI232" s="36"/>
      <c r="AJ232" s="36"/>
      <c r="AK232" s="36"/>
      <c r="AL232" s="36"/>
      <c r="AM232" s="36"/>
      <c r="AN232" s="36"/>
      <c r="AO232" s="36"/>
      <c r="AP232" s="37"/>
      <c r="AQ232" s="37"/>
      <c r="AR232" s="37"/>
      <c r="AS232" s="37"/>
      <c r="AT232" s="37"/>
      <c r="AU232" s="37"/>
      <c r="AV232" s="37"/>
      <c r="AW232" s="37"/>
      <c r="AX232" s="37"/>
      <c r="AY232" s="37"/>
      <c r="AZ232" s="37"/>
      <c r="BA232" s="37"/>
      <c r="BB232" s="37"/>
      <c r="BC232" s="37"/>
      <c r="BD232" s="37"/>
      <c r="BE232" s="37"/>
      <c r="BF232" s="37"/>
      <c r="BG232" s="37"/>
    </row>
    <row r="233" spans="2:59" s="31" customFormat="1" ht="15.5" x14ac:dyDescent="0.3">
      <c r="B233" s="54"/>
      <c r="C233" s="34"/>
      <c r="D233" s="34"/>
      <c r="E233" s="59"/>
      <c r="G233" s="34"/>
      <c r="H233" s="84"/>
      <c r="J233" s="33"/>
      <c r="K233" s="34"/>
      <c r="L233" s="34"/>
      <c r="M233" s="84"/>
      <c r="N233" s="84"/>
      <c r="O233" s="84"/>
      <c r="Q233" s="37"/>
      <c r="R233" s="99"/>
      <c r="S233" s="36"/>
      <c r="T233" s="36"/>
      <c r="U233" s="36"/>
      <c r="V233" s="36"/>
      <c r="W233" s="36"/>
      <c r="X233" s="36"/>
      <c r="Y233" s="36"/>
      <c r="Z233" s="36"/>
      <c r="AA233" s="36"/>
      <c r="AB233" s="36"/>
      <c r="AC233" s="36"/>
      <c r="AD233" s="36"/>
      <c r="AE233" s="36"/>
      <c r="AF233" s="36"/>
      <c r="AG233" s="36"/>
      <c r="AH233" s="36"/>
      <c r="AI233" s="36"/>
      <c r="AJ233" s="36"/>
      <c r="AK233" s="36"/>
      <c r="AL233" s="36"/>
      <c r="AM233" s="36"/>
      <c r="AN233" s="37"/>
      <c r="AO233" s="37"/>
      <c r="AP233" s="37"/>
      <c r="AQ233" s="37"/>
      <c r="AR233" s="37"/>
      <c r="AS233" s="37"/>
      <c r="AT233" s="37"/>
      <c r="AU233" s="37"/>
      <c r="AV233" s="37"/>
      <c r="AW233" s="37"/>
      <c r="AX233" s="37"/>
      <c r="AY233" s="37"/>
      <c r="AZ233" s="37"/>
      <c r="BA233" s="37"/>
      <c r="BB233" s="37"/>
      <c r="BC233" s="37"/>
      <c r="BD233" s="37"/>
      <c r="BE233" s="37"/>
    </row>
    <row r="234" spans="2:59" s="298" customFormat="1" ht="18" x14ac:dyDescent="0.3">
      <c r="B234" s="295" t="s">
        <v>42</v>
      </c>
      <c r="C234" s="296"/>
      <c r="D234" s="297"/>
      <c r="G234" s="296"/>
      <c r="H234" s="297"/>
      <c r="K234" s="296"/>
      <c r="L234" s="296"/>
      <c r="M234" s="297"/>
      <c r="N234" s="297"/>
      <c r="O234" s="300"/>
      <c r="P234" s="320"/>
      <c r="Q234" s="304"/>
      <c r="R234" s="298" t="str">
        <f>IF(OR(ISNUMBER(#REF!),ISNUMBER(#REF!),ISNUMBER(#REF!)),SUM(#REF!,#REF!,#REF!),"")</f>
        <v/>
      </c>
      <c r="S234" s="303"/>
      <c r="T234" s="303"/>
      <c r="U234" s="303"/>
      <c r="V234" s="303"/>
      <c r="W234" s="303"/>
      <c r="X234" s="303"/>
      <c r="Y234" s="303"/>
      <c r="Z234" s="303"/>
      <c r="AA234" s="303"/>
      <c r="AB234" s="303"/>
      <c r="AC234" s="303"/>
      <c r="AD234" s="303"/>
      <c r="AE234" s="303"/>
      <c r="AF234" s="303"/>
      <c r="AG234" s="303"/>
      <c r="AH234" s="303"/>
      <c r="AI234" s="303"/>
      <c r="AJ234" s="303"/>
      <c r="AK234" s="303"/>
      <c r="AL234" s="303"/>
      <c r="AM234" s="303"/>
      <c r="AN234" s="304"/>
      <c r="AO234" s="304"/>
      <c r="AP234" s="304"/>
      <c r="AQ234" s="304"/>
      <c r="AR234" s="304"/>
      <c r="AS234" s="304"/>
      <c r="AT234" s="304"/>
      <c r="AU234" s="304"/>
      <c r="AV234" s="304"/>
      <c r="AW234" s="304"/>
      <c r="AX234" s="304"/>
      <c r="AY234" s="304"/>
      <c r="AZ234" s="304"/>
      <c r="BA234" s="304"/>
      <c r="BB234" s="304"/>
      <c r="BC234" s="304"/>
      <c r="BD234" s="304"/>
      <c r="BE234" s="304"/>
    </row>
    <row r="235" spans="2:59" s="31" customFormat="1" ht="15.5" x14ac:dyDescent="0.3">
      <c r="B235" s="9"/>
      <c r="C235" s="34"/>
      <c r="D235" s="84"/>
      <c r="G235" s="34" t="s">
        <v>43</v>
      </c>
      <c r="H235" s="84"/>
      <c r="K235" s="38" t="s">
        <v>329</v>
      </c>
      <c r="L235" s="38" t="s">
        <v>201</v>
      </c>
      <c r="M235" s="84"/>
      <c r="N235" s="84"/>
      <c r="O235" s="255" t="s">
        <v>644</v>
      </c>
      <c r="Q235" s="35"/>
      <c r="R235" s="44" t="s">
        <v>350</v>
      </c>
      <c r="S235" s="36"/>
      <c r="T235" s="36" t="s">
        <v>267</v>
      </c>
      <c r="U235" s="36" t="s">
        <v>268</v>
      </c>
      <c r="V235" s="36" t="s">
        <v>269</v>
      </c>
      <c r="W235" s="36" t="s">
        <v>272</v>
      </c>
      <c r="X235" s="36" t="s">
        <v>270</v>
      </c>
      <c r="Y235" s="44" t="s">
        <v>271</v>
      </c>
      <c r="Z235" s="36" t="s">
        <v>273</v>
      </c>
      <c r="AA235" s="108"/>
      <c r="AB235" s="36"/>
      <c r="AC235" s="36"/>
      <c r="AD235" s="36"/>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9" s="31" customFormat="1" ht="15.5" x14ac:dyDescent="0.3">
      <c r="B236" s="54" t="s">
        <v>582</v>
      </c>
      <c r="C236" s="160"/>
      <c r="D236" s="84" t="s">
        <v>234</v>
      </c>
      <c r="G236" s="160"/>
      <c r="H236" s="84" t="s">
        <v>44</v>
      </c>
      <c r="J236" s="33" t="s">
        <v>566</v>
      </c>
      <c r="K236" s="112">
        <f>IF(ISNUMBER(L236),L236,IF(C240=Pudotusvalikot!$J$4,Kalusto!$E$98,IF(C240=Pudotusvalikot!$J$5,Kalusto!$E$99,IF(C240=Pudotusvalikot!$J$6,Kalusto!$E$100,IF(C240=Pudotusvalikot!$J$7,Kalusto!$E$101,IF(C240=Pudotusvalikot!$J$8,Kalusto!$E$102,IF(C240=Pudotusvalikot!$J$9,Kalusto!$E$103,IF(C240=Pudotusvalikot!$J$11,Kalusto!$E$104,Kalusto!$E$98))))))))</f>
        <v>5.5</v>
      </c>
      <c r="L236" s="63"/>
      <c r="M236" s="77" t="str">
        <f>IF(C240=Pudotusvalikot!$J$9,"kWh/100 km",IF(C240=Pudotusvalikot!$J$6,"kg/100 km","l/100 km"))</f>
        <v>l/100 km</v>
      </c>
      <c r="N236" s="77"/>
      <c r="O236" s="256"/>
      <c r="Q236" s="35"/>
      <c r="R236" s="109">
        <f>SUM(U236:Z236)</f>
        <v>0</v>
      </c>
      <c r="S236" s="102" t="s">
        <v>172</v>
      </c>
      <c r="T236" s="48">
        <f>IF(ISNUMBER(C237*C236*G236),C237*C236*G236,"")</f>
        <v>0</v>
      </c>
      <c r="U236" s="50">
        <f>IF(ISNUMBER(T236),IF(C240=Pudotusvalikot!$J$5,(Muut!$H$15+Muut!$H$18)*(T236*K236/100),0),"")</f>
        <v>0</v>
      </c>
      <c r="V236" s="50">
        <f>IF(ISNUMBER(T236),IF(C240=Pudotusvalikot!$J$4,(Muut!$H$14+Muut!$H$17)*(T236*K236/100),0),"")</f>
        <v>0</v>
      </c>
      <c r="W236" s="50">
        <f>IF(ISNUMBER(T236),IF(C240=Pudotusvalikot!$J$6,(Muut!$H$16+Muut!$H$19)*(T236*K236/100),0),"")</f>
        <v>0</v>
      </c>
      <c r="X236" s="50">
        <f>IF(ISNUMBER(T236),IF(C240=Pudotusvalikot!$J$7,((Muut!$H$15+Muut!$H$18)*(100%-Kalusto!$O$101)+(Muut!$H$14+Muut!$H$17)*Kalusto!$O$101)*(T236*K236/100),0),"")</f>
        <v>0</v>
      </c>
      <c r="Y236" s="74">
        <f>IF(ISNUMBER(T236),IF(C240=Pudotusvalikot!$J$8,((Kalusto!$K$102)*(100%-Kalusto!$O$102)+(Kalusto!$M$102)*Kalusto!$O$102)*(Muut!$H$13+Muut!$H$12)/100*T236/1000+((Kalusto!$G$102)*(100%-Kalusto!$O$102)+(Kalusto!$I$102)*Kalusto!$O$102)*(K236+Muut!$H$18)/100*T236,0),"")</f>
        <v>0</v>
      </c>
      <c r="Z236" s="74">
        <f>IF(ISNUMBER(T236),IF(C240=Pudotusvalikot!$J$9,Kalusto!$E$103*(K236+Muut!$H$12)/100*T236/1000,0),"")</f>
        <v>0</v>
      </c>
      <c r="AA236" s="108"/>
      <c r="AB236" s="36"/>
      <c r="AC236" s="36"/>
      <c r="AD236" s="36"/>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9" s="31" customFormat="1" ht="15.5" x14ac:dyDescent="0.3">
      <c r="B237" s="45" t="s">
        <v>581</v>
      </c>
      <c r="C237" s="160"/>
      <c r="D237" s="84" t="s">
        <v>5</v>
      </c>
      <c r="G237" s="34"/>
      <c r="H237" s="84"/>
      <c r="K237" s="134"/>
      <c r="L237" s="38"/>
      <c r="M237" s="84"/>
      <c r="N237" s="84"/>
      <c r="O237" s="100"/>
      <c r="Q237" s="35"/>
      <c r="R237" s="44" t="s">
        <v>350</v>
      </c>
      <c r="S237" s="36"/>
      <c r="T237" s="36" t="s">
        <v>267</v>
      </c>
      <c r="U237" s="36" t="s">
        <v>268</v>
      </c>
      <c r="V237" s="36" t="s">
        <v>269</v>
      </c>
      <c r="W237" s="36" t="s">
        <v>272</v>
      </c>
      <c r="X237" s="36" t="s">
        <v>270</v>
      </c>
      <c r="Y237" s="44" t="s">
        <v>271</v>
      </c>
      <c r="Z237" s="36" t="s">
        <v>273</v>
      </c>
      <c r="AA237" s="108"/>
      <c r="AB237" s="36"/>
      <c r="AC237" s="36"/>
      <c r="AD237" s="36"/>
      <c r="AE237" s="36"/>
      <c r="AF237" s="36"/>
      <c r="AG237" s="36"/>
      <c r="AH237" s="36"/>
      <c r="AI237" s="36"/>
      <c r="AJ237" s="36"/>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9" s="31" customFormat="1" ht="31" x14ac:dyDescent="0.3">
      <c r="B238" s="78" t="s">
        <v>580</v>
      </c>
      <c r="C238" s="160"/>
      <c r="D238" s="84" t="s">
        <v>235</v>
      </c>
      <c r="G238" s="160"/>
      <c r="H238" s="84" t="s">
        <v>44</v>
      </c>
      <c r="J238" s="33" t="s">
        <v>566</v>
      </c>
      <c r="K238" s="112">
        <f>IF(ISNUMBER(L238),L238,IF(C240=Pudotusvalikot!$J$4,Kalusto!$E$98,IF(C240=Pudotusvalikot!$J$5,Kalusto!$E$99,IF(C240=Pudotusvalikot!$J$6,Kalusto!$E$100,IF(C240=Pudotusvalikot!$J$7,Kalusto!$E$101,IF(C240=Pudotusvalikot!$J$8,Kalusto!$E$102,IF(C240=Pudotusvalikot!$J$9,Kalusto!$E$103,IF(C240=Pudotusvalikot!$J$11,Kalusto!$E$104,Kalusto!$E$98))))))))</f>
        <v>5.5</v>
      </c>
      <c r="L238" s="63"/>
      <c r="M238" s="77" t="str">
        <f>IF(C240=Pudotusvalikot!$J$9,"kWh/100 km",IF(C240=Pudotusvalikot!$J$6,"kg/100 km","l/100 km"))</f>
        <v>l/100 km</v>
      </c>
      <c r="N238" s="77"/>
      <c r="O238" s="269"/>
      <c r="Q238" s="35"/>
      <c r="R238" s="109">
        <f>SUM(U238:Z238)</f>
        <v>0</v>
      </c>
      <c r="S238" s="102" t="s">
        <v>172</v>
      </c>
      <c r="T238" s="48">
        <f>IF(ISNUMBER(C239*C238*50*G238),C239*C238*50*G238,"")</f>
        <v>0</v>
      </c>
      <c r="U238" s="50">
        <f>IF(ISNUMBER(T238),IF(C240=Pudotusvalikot!$J$5,(Muut!$H$15+Muut!$H$18)*(T238*K238/100),0),"")</f>
        <v>0</v>
      </c>
      <c r="V238" s="50">
        <f>IF(ISNUMBER(T238),IF(C240=Pudotusvalikot!$J$4,(Muut!$H$14+Muut!$H$17)*(T238*K238/100),0),"")</f>
        <v>0</v>
      </c>
      <c r="W238" s="50">
        <f>IF(ISNUMBER(T238),IF(C240=Pudotusvalikot!$J$6,(Muut!$H$16+Muut!$H$19)*(T238*K238/100),0),"")</f>
        <v>0</v>
      </c>
      <c r="X238" s="50">
        <f>IF(ISNUMBER(T238),IF(C240=Pudotusvalikot!$J$7,((Muut!$H$15+Muut!$H$18)*(100%-Kalusto!$O$101)+(Muut!$H$14+Muut!$H$17)*Kalusto!$O$101)*(T238*K238/100),0),"")</f>
        <v>0</v>
      </c>
      <c r="Y238" s="74">
        <f>IF(ISNUMBER(T238),IF(C240=Pudotusvalikot!$J$8,((Kalusto!$K$102)*(100%-Kalusto!$O$102)+(Kalusto!$M$102)*Kalusto!$O$102)*(Muut!$H$13+Muut!$H$12)/100*T238/1000+((Kalusto!$G$102)*(100%-Kalusto!$O$102)+(Kalusto!$I$102)*Kalusto!$O$102)*(K238+Muut!$H$18)/100*T238,0),"")</f>
        <v>0</v>
      </c>
      <c r="Z238" s="74">
        <f>IF(ISNUMBER(T238),IF(C240=Pudotusvalikot!$J$9,Kalusto!$E$103*(K238+Muut!$H$12)/100*T238/1000,0),"")</f>
        <v>0</v>
      </c>
      <c r="AA238" s="108"/>
      <c r="AB238" s="36"/>
      <c r="AC238" s="36"/>
      <c r="AD238" s="36"/>
      <c r="AE238" s="36"/>
      <c r="AF238" s="36"/>
      <c r="AG238" s="36"/>
      <c r="AH238" s="36"/>
      <c r="AI238" s="36"/>
      <c r="AJ238" s="36"/>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9" s="31" customFormat="1" ht="15.5" x14ac:dyDescent="0.3">
      <c r="B239" s="45" t="s">
        <v>579</v>
      </c>
      <c r="C239" s="160"/>
      <c r="D239" s="84" t="s">
        <v>5</v>
      </c>
      <c r="G239" s="34"/>
      <c r="H239" s="84"/>
      <c r="K239" s="134"/>
      <c r="L239" s="38"/>
      <c r="M239" s="84"/>
      <c r="N239" s="84"/>
      <c r="O239" s="100"/>
      <c r="Q239" s="35"/>
      <c r="R239" s="99"/>
      <c r="S239" s="36"/>
      <c r="T239" s="36"/>
      <c r="U239" s="36"/>
      <c r="V239" s="36"/>
      <c r="W239" s="36"/>
      <c r="X239" s="36"/>
      <c r="Y239" s="36"/>
      <c r="Z239" s="36"/>
      <c r="AA239" s="36"/>
      <c r="AB239" s="36"/>
      <c r="AC239" s="36"/>
      <c r="AD239" s="36"/>
      <c r="AE239" s="36"/>
      <c r="AF239" s="36"/>
      <c r="AG239" s="36"/>
      <c r="AH239" s="36"/>
      <c r="AI239" s="36"/>
      <c r="AJ239" s="36"/>
      <c r="AK239" s="36"/>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9" s="31" customFormat="1" ht="15.5" x14ac:dyDescent="0.3">
      <c r="B240" s="54" t="s">
        <v>576</v>
      </c>
      <c r="C240" s="399" t="s">
        <v>242</v>
      </c>
      <c r="D240" s="399"/>
      <c r="G240" s="34"/>
      <c r="H240" s="84"/>
      <c r="J240" s="33"/>
      <c r="K240" s="34"/>
      <c r="L240" s="34"/>
      <c r="M240" s="84"/>
      <c r="N240" s="84"/>
      <c r="O240" s="100"/>
      <c r="Q240" s="35"/>
      <c r="R240" s="99"/>
      <c r="S240" s="36"/>
      <c r="T240" s="36"/>
      <c r="U240" s="36"/>
      <c r="V240" s="36"/>
      <c r="W240" s="36"/>
      <c r="X240" s="36"/>
      <c r="Y240" s="36"/>
      <c r="Z240" s="36"/>
      <c r="AA240" s="36"/>
      <c r="AB240" s="36"/>
      <c r="AC240" s="36"/>
      <c r="AD240" s="36"/>
      <c r="AE240" s="36"/>
      <c r="AF240" s="36"/>
      <c r="AG240" s="36"/>
      <c r="AH240" s="36"/>
      <c r="AI240" s="36"/>
      <c r="AJ240" s="36"/>
      <c r="AK240" s="36"/>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9" s="31" customFormat="1" ht="15.5" x14ac:dyDescent="0.3">
      <c r="B241" s="54"/>
      <c r="C241" s="54"/>
      <c r="D241" s="54"/>
      <c r="F241" s="54"/>
      <c r="G241" s="54"/>
      <c r="H241" s="54"/>
      <c r="I241" s="54"/>
      <c r="J241" s="33"/>
      <c r="K241" s="34"/>
      <c r="L241" s="34"/>
      <c r="M241" s="84"/>
      <c r="N241" s="84"/>
      <c r="O241" s="100"/>
      <c r="Q241" s="35"/>
      <c r="R241" s="99"/>
      <c r="S241" s="36"/>
      <c r="T241" s="36"/>
      <c r="U241" s="36"/>
      <c r="V241" s="36"/>
      <c r="W241" s="36"/>
      <c r="X241" s="36"/>
      <c r="Y241" s="36"/>
      <c r="Z241" s="36"/>
      <c r="AA241" s="36"/>
      <c r="AB241" s="36"/>
      <c r="AC241" s="36"/>
      <c r="AD241" s="36"/>
      <c r="AE241" s="36"/>
      <c r="AF241" s="36"/>
      <c r="AG241" s="36"/>
      <c r="AH241" s="36"/>
      <c r="AI241" s="36"/>
      <c r="AJ241" s="36"/>
      <c r="AK241" s="36"/>
      <c r="AL241" s="36"/>
      <c r="AM241" s="36"/>
      <c r="AN241" s="37"/>
      <c r="AO241" s="37"/>
      <c r="AP241" s="37"/>
      <c r="AQ241" s="37"/>
      <c r="AR241" s="37"/>
      <c r="AS241" s="37"/>
      <c r="AT241" s="37"/>
      <c r="AU241" s="37"/>
      <c r="AV241" s="37"/>
      <c r="AW241" s="37"/>
      <c r="AX241" s="37"/>
      <c r="AY241" s="37"/>
      <c r="AZ241" s="37"/>
      <c r="BA241" s="37"/>
      <c r="BB241" s="37"/>
      <c r="BC241" s="37"/>
      <c r="BD241" s="37"/>
      <c r="BE241" s="37"/>
    </row>
    <row r="242" spans="2:59" s="196" customFormat="1" ht="23" x14ac:dyDescent="0.3">
      <c r="B242" s="197" t="s">
        <v>322</v>
      </c>
      <c r="C242" s="198"/>
      <c r="D242" s="199"/>
      <c r="G242" s="198"/>
      <c r="H242" s="199"/>
      <c r="J242" s="200"/>
      <c r="O242" s="270"/>
      <c r="P242" s="201"/>
      <c r="Q242" s="202"/>
      <c r="R242" s="203"/>
      <c r="S242" s="202"/>
      <c r="T242" s="204"/>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4"/>
      <c r="AQ242" s="204"/>
      <c r="AR242" s="204"/>
      <c r="AS242" s="204"/>
      <c r="AT242" s="204"/>
      <c r="AU242" s="204"/>
      <c r="AV242" s="204"/>
      <c r="AW242" s="204"/>
      <c r="AX242" s="204"/>
      <c r="AY242" s="204"/>
      <c r="AZ242" s="204"/>
      <c r="BA242" s="204"/>
      <c r="BB242" s="204"/>
      <c r="BC242" s="204"/>
      <c r="BD242" s="204"/>
      <c r="BE242" s="204"/>
      <c r="BF242" s="204"/>
      <c r="BG242" s="204"/>
    </row>
    <row r="243" spans="2:59" s="31" customFormat="1" ht="15.5" x14ac:dyDescent="0.3">
      <c r="B243" s="9"/>
      <c r="C243" s="34"/>
      <c r="D243" s="84"/>
      <c r="G243" s="34"/>
      <c r="H243" s="84"/>
      <c r="K243" s="34"/>
      <c r="L243" s="34"/>
      <c r="M243" s="84"/>
      <c r="N243" s="84"/>
      <c r="O243" s="84"/>
      <c r="Q243" s="35"/>
      <c r="R243" s="99"/>
      <c r="S243" s="36"/>
      <c r="T243" s="36"/>
      <c r="U243" s="36"/>
      <c r="V243" s="36"/>
      <c r="W243" s="36"/>
      <c r="X243" s="36"/>
      <c r="Y243" s="36"/>
      <c r="Z243" s="36"/>
      <c r="AA243" s="36"/>
      <c r="AB243" s="36"/>
      <c r="AC243" s="36"/>
      <c r="AD243" s="36"/>
      <c r="AE243" s="36"/>
      <c r="AF243" s="36"/>
      <c r="AG243" s="36"/>
      <c r="AH243" s="36"/>
      <c r="AI243" s="36"/>
      <c r="AJ243" s="36"/>
      <c r="AK243" s="36"/>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9" s="298" customFormat="1" ht="18" x14ac:dyDescent="0.3">
      <c r="B244" s="295" t="s">
        <v>486</v>
      </c>
      <c r="C244" s="296"/>
      <c r="D244" s="297"/>
      <c r="G244" s="296"/>
      <c r="H244" s="297"/>
      <c r="K244" s="296"/>
      <c r="L244" s="296"/>
      <c r="M244" s="297"/>
      <c r="N244" s="297"/>
      <c r="O244" s="300"/>
      <c r="P244" s="320"/>
      <c r="Q244" s="304"/>
      <c r="R244" s="298" t="str">
        <f>IF(OR(ISNUMBER(#REF!),ISNUMBER(#REF!),ISNUMBER(#REF!)),SUM(#REF!,#REF!,#REF!),"")</f>
        <v/>
      </c>
      <c r="S244" s="303"/>
      <c r="T244" s="303"/>
      <c r="U244" s="303"/>
      <c r="V244" s="303"/>
      <c r="W244" s="303"/>
      <c r="X244" s="303"/>
      <c r="Y244" s="303"/>
      <c r="Z244" s="303"/>
      <c r="AA244" s="303"/>
      <c r="AB244" s="303"/>
      <c r="AC244" s="303"/>
      <c r="AD244" s="303"/>
      <c r="AE244" s="303"/>
      <c r="AF244" s="303"/>
      <c r="AG244" s="303"/>
      <c r="AH244" s="303"/>
      <c r="AI244" s="303"/>
      <c r="AJ244" s="303"/>
      <c r="AK244" s="303"/>
      <c r="AL244" s="303"/>
      <c r="AM244" s="303"/>
      <c r="AN244" s="304"/>
      <c r="AO244" s="304"/>
      <c r="AP244" s="304"/>
      <c r="AQ244" s="304"/>
      <c r="AR244" s="304"/>
      <c r="AS244" s="304"/>
      <c r="AT244" s="304"/>
      <c r="AU244" s="304"/>
      <c r="AV244" s="304"/>
      <c r="AW244" s="304"/>
      <c r="AX244" s="304"/>
      <c r="AY244" s="304"/>
      <c r="AZ244" s="304"/>
      <c r="BA244" s="304"/>
      <c r="BB244" s="304"/>
      <c r="BC244" s="304"/>
      <c r="BD244" s="304"/>
      <c r="BE244" s="304"/>
    </row>
    <row r="245" spans="2:59" s="31" customFormat="1" ht="15.5" x14ac:dyDescent="0.3">
      <c r="C245" s="34"/>
      <c r="D245" s="84"/>
      <c r="G245" s="34"/>
      <c r="H245" s="84"/>
      <c r="K245" s="34"/>
      <c r="L245" s="34"/>
      <c r="M245" s="84"/>
      <c r="N245" s="84"/>
      <c r="O245" s="84"/>
      <c r="Q245" s="35"/>
      <c r="R245" s="99"/>
      <c r="S245" s="36"/>
      <c r="T245" s="36"/>
      <c r="U245" s="36"/>
      <c r="V245" s="36"/>
      <c r="W245" s="36"/>
      <c r="X245" s="36"/>
      <c r="Y245" s="36"/>
      <c r="Z245" s="36"/>
      <c r="AA245" s="36"/>
      <c r="AB245" s="36"/>
      <c r="AC245" s="36"/>
      <c r="AD245" s="36"/>
      <c r="AE245" s="36"/>
      <c r="AF245" s="36"/>
      <c r="AG245" s="36"/>
      <c r="AH245" s="36"/>
      <c r="AI245" s="36"/>
      <c r="AJ245" s="36"/>
      <c r="AK245" s="36"/>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9" s="298" customFormat="1" ht="18" x14ac:dyDescent="0.3">
      <c r="B246" s="295" t="s">
        <v>55</v>
      </c>
      <c r="C246" s="296"/>
      <c r="D246" s="297"/>
      <c r="G246" s="296"/>
      <c r="H246" s="297"/>
      <c r="K246" s="296"/>
      <c r="L246" s="296"/>
      <c r="M246" s="297"/>
      <c r="N246" s="297"/>
      <c r="O246" s="300"/>
      <c r="P246" s="320"/>
      <c r="Q246" s="304"/>
      <c r="R246" s="298" t="str">
        <f>IF(OR(ISNUMBER(#REF!),ISNUMBER(#REF!),ISNUMBER(#REF!)),SUM(#REF!,#REF!,#REF!),"")</f>
        <v/>
      </c>
      <c r="S246" s="303"/>
      <c r="T246" s="303"/>
      <c r="U246" s="303"/>
      <c r="V246" s="303"/>
      <c r="W246" s="303"/>
      <c r="X246" s="303"/>
      <c r="Y246" s="303"/>
      <c r="Z246" s="303"/>
      <c r="AA246" s="303"/>
      <c r="AB246" s="303"/>
      <c r="AC246" s="303"/>
      <c r="AD246" s="303"/>
      <c r="AE246" s="303"/>
      <c r="AF246" s="303"/>
      <c r="AG246" s="303"/>
      <c r="AH246" s="303"/>
      <c r="AI246" s="303"/>
      <c r="AJ246" s="303"/>
      <c r="AK246" s="303"/>
      <c r="AL246" s="303"/>
      <c r="AM246" s="303"/>
      <c r="AN246" s="304"/>
      <c r="AO246" s="304"/>
      <c r="AP246" s="304"/>
      <c r="AQ246" s="304"/>
      <c r="AR246" s="304"/>
      <c r="AS246" s="304"/>
      <c r="AT246" s="304"/>
      <c r="AU246" s="304"/>
      <c r="AV246" s="304"/>
      <c r="AW246" s="304"/>
      <c r="AX246" s="304"/>
      <c r="AY246" s="304"/>
      <c r="AZ246" s="304"/>
      <c r="BA246" s="304"/>
      <c r="BB246" s="304"/>
      <c r="BC246" s="304"/>
      <c r="BD246" s="304"/>
      <c r="BE246" s="304"/>
    </row>
    <row r="247" spans="2:59" s="31" customFormat="1" ht="15.5" x14ac:dyDescent="0.3">
      <c r="B247" s="9"/>
      <c r="C247" s="34"/>
      <c r="D247" s="84"/>
      <c r="G247" s="34"/>
      <c r="H247" s="84"/>
      <c r="K247" s="34"/>
      <c r="L247" s="34"/>
      <c r="M247" s="84"/>
      <c r="N247" s="84"/>
      <c r="O247" s="84"/>
      <c r="Q247" s="35"/>
      <c r="R247" s="99"/>
      <c r="S247" s="36"/>
      <c r="T247" s="44"/>
      <c r="U247" s="44"/>
      <c r="V247" s="36"/>
      <c r="W247" s="36"/>
      <c r="X247" s="36"/>
      <c r="Y247" s="36"/>
      <c r="Z247" s="36"/>
      <c r="AA247" s="36"/>
      <c r="AB247" s="36"/>
      <c r="AC247" s="36"/>
      <c r="AD247" s="36"/>
      <c r="AE247" s="36"/>
      <c r="AF247" s="36"/>
      <c r="AG247" s="36"/>
      <c r="AH247" s="36"/>
      <c r="AI247" s="36"/>
      <c r="AJ247" s="36"/>
      <c r="AK247" s="36"/>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9" s="31" customFormat="1" ht="15.5" x14ac:dyDescent="0.3">
      <c r="B248" s="155" t="s">
        <v>487</v>
      </c>
      <c r="C248" s="34"/>
      <c r="D248" s="84"/>
      <c r="G248" s="34"/>
      <c r="H248" s="84"/>
      <c r="K248" s="38" t="s">
        <v>329</v>
      </c>
      <c r="L248" s="38" t="s">
        <v>201</v>
      </c>
      <c r="M248" s="84"/>
      <c r="N248" s="84"/>
      <c r="O248" s="255" t="s">
        <v>644</v>
      </c>
      <c r="Q248" s="35"/>
      <c r="R248" s="44" t="s">
        <v>350</v>
      </c>
      <c r="S248" s="36"/>
      <c r="T248" s="44" t="s">
        <v>275</v>
      </c>
      <c r="U248" s="108"/>
      <c r="V248" s="36"/>
      <c r="W248" s="36"/>
      <c r="X248" s="36"/>
      <c r="Y248" s="36"/>
      <c r="Z248" s="36"/>
      <c r="AA248" s="36"/>
      <c r="AB248" s="36"/>
      <c r="AC248" s="36"/>
      <c r="AD248" s="36"/>
      <c r="AE248" s="36"/>
      <c r="AF248" s="36"/>
      <c r="AG248" s="36"/>
      <c r="AH248" s="36"/>
      <c r="AI248" s="36"/>
      <c r="AJ248" s="36"/>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9" s="31" customFormat="1" ht="15.5" x14ac:dyDescent="0.3">
      <c r="B249" s="54" t="s">
        <v>510</v>
      </c>
      <c r="C249" s="392" t="s">
        <v>128</v>
      </c>
      <c r="D249" s="393"/>
      <c r="E249" s="393"/>
      <c r="F249" s="393"/>
      <c r="G249" s="394"/>
      <c r="H249" s="84"/>
      <c r="J249" s="33" t="s">
        <v>470</v>
      </c>
      <c r="K249" s="96">
        <f>IF(ISNUMBER(L249),L249,IF(OR(C249=Pudotusvalikot!$D$67,C249=Pudotusvalikot!$D$68),"--",VLOOKUP(C249,Kalusto!$C$5:$E$42,3,FALSE)*IF(OR(C250=Pudotusvalikot!$V$3,C250=Pudotusvalikot!$V$4),Muut!$E$38,IF(C250=Pudotusvalikot!$V$5,Muut!$E$39,IF(C250=Pudotusvalikot!$V$6,Muut!$E$40,Muut!$E$41)))))</f>
        <v>34.130000000000003</v>
      </c>
      <c r="L249" s="40"/>
      <c r="M249" s="41" t="s">
        <v>205</v>
      </c>
      <c r="N249" s="41"/>
      <c r="O249" s="256"/>
      <c r="Q249" s="35"/>
      <c r="R249" s="50" t="str">
        <f>IF(ISNUMBER(K249*T249),K249*T249,"")</f>
        <v/>
      </c>
      <c r="S249" s="102" t="s">
        <v>172</v>
      </c>
      <c r="T249" s="50" t="str">
        <f>IF(ISNUMBER(C251),C251,"")</f>
        <v/>
      </c>
      <c r="U249" s="108"/>
      <c r="V249" s="61"/>
      <c r="W249" s="36"/>
      <c r="X249" s="36"/>
      <c r="Y249" s="36"/>
      <c r="Z249" s="36"/>
      <c r="AA249" s="36"/>
      <c r="AB249" s="36"/>
      <c r="AC249" s="36"/>
      <c r="AD249" s="36"/>
      <c r="AE249" s="36"/>
      <c r="AF249" s="36"/>
      <c r="AG249" s="36"/>
      <c r="AH249" s="36"/>
      <c r="AI249" s="36"/>
      <c r="AJ249" s="36"/>
      <c r="AK249" s="36"/>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9" s="31" customFormat="1" ht="15.5" x14ac:dyDescent="0.3">
      <c r="B250" s="170" t="s">
        <v>509</v>
      </c>
      <c r="C250" s="160" t="s">
        <v>242</v>
      </c>
      <c r="D250" s="34"/>
      <c r="E250" s="34"/>
      <c r="F250" s="34"/>
      <c r="G250" s="34"/>
      <c r="H250" s="59"/>
      <c r="J250" s="173"/>
      <c r="K250" s="173"/>
      <c r="L250" s="173"/>
      <c r="M250" s="41"/>
      <c r="N250" s="41"/>
      <c r="O250" s="265"/>
      <c r="Q250" s="47"/>
      <c r="R250" s="61"/>
      <c r="S250" s="102"/>
      <c r="T250" s="36"/>
      <c r="U250" s="36"/>
      <c r="V250" s="181"/>
      <c r="W250" s="181"/>
      <c r="X250" s="61"/>
      <c r="Y250" s="36"/>
      <c r="Z250" s="61"/>
      <c r="AA250" s="182"/>
      <c r="AB250" s="61"/>
      <c r="AC250" s="61"/>
      <c r="AD250" s="61"/>
      <c r="AE250" s="61"/>
      <c r="AF250" s="182"/>
      <c r="AG250" s="61"/>
      <c r="AH250" s="36"/>
      <c r="AI250" s="36"/>
      <c r="AJ250" s="36"/>
      <c r="AK250" s="108"/>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9" s="31" customFormat="1" ht="15.5" x14ac:dyDescent="0.3">
      <c r="B251" s="54" t="s">
        <v>473</v>
      </c>
      <c r="C251" s="193"/>
      <c r="D251" s="84" t="s">
        <v>51</v>
      </c>
      <c r="G251" s="34"/>
      <c r="H251" s="84"/>
      <c r="J251" s="33"/>
      <c r="K251" s="34"/>
      <c r="L251" s="34"/>
      <c r="M251" s="84"/>
      <c r="N251" s="84"/>
      <c r="O251" s="100"/>
      <c r="Q251" s="35"/>
      <c r="R251" s="36"/>
      <c r="S251" s="36"/>
      <c r="T251" s="36"/>
      <c r="U251" s="108"/>
      <c r="V251" s="36"/>
      <c r="W251" s="36"/>
      <c r="X251" s="36"/>
      <c r="Y251" s="36"/>
      <c r="Z251" s="36"/>
      <c r="AA251" s="36"/>
      <c r="AB251" s="36"/>
      <c r="AC251" s="36"/>
      <c r="AD251" s="36"/>
      <c r="AE251" s="36"/>
      <c r="AF251" s="36"/>
      <c r="AG251" s="36"/>
      <c r="AH251" s="36"/>
      <c r="AI251" s="36"/>
      <c r="AJ251" s="36"/>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9" s="31" customFormat="1" ht="15.5" x14ac:dyDescent="0.3">
      <c r="B252" s="155" t="s">
        <v>488</v>
      </c>
      <c r="C252" s="34"/>
      <c r="D252" s="84"/>
      <c r="G252" s="34"/>
      <c r="H252" s="84"/>
      <c r="J252" s="33"/>
      <c r="K252" s="38" t="s">
        <v>329</v>
      </c>
      <c r="L252" s="38" t="s">
        <v>201</v>
      </c>
      <c r="M252" s="84"/>
      <c r="N252" s="84"/>
      <c r="O252" s="100"/>
      <c r="Q252" s="35"/>
      <c r="R252" s="44" t="s">
        <v>350</v>
      </c>
      <c r="S252" s="36"/>
      <c r="T252" s="44" t="s">
        <v>275</v>
      </c>
      <c r="U252" s="108"/>
      <c r="V252" s="36"/>
      <c r="W252" s="44"/>
      <c r="X252" s="36"/>
      <c r="Y252" s="36"/>
      <c r="Z252" s="36"/>
      <c r="AA252" s="36"/>
      <c r="AB252" s="36"/>
      <c r="AC252" s="36"/>
      <c r="AD252" s="36"/>
      <c r="AE252" s="36"/>
      <c r="AF252" s="36"/>
      <c r="AG252" s="36"/>
      <c r="AH252" s="36"/>
      <c r="AI252" s="36"/>
      <c r="AJ252" s="36"/>
      <c r="AK252" s="36"/>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9" s="31" customFormat="1" ht="15.5" x14ac:dyDescent="0.3">
      <c r="B253" s="54" t="s">
        <v>510</v>
      </c>
      <c r="C253" s="392" t="s">
        <v>128</v>
      </c>
      <c r="D253" s="393"/>
      <c r="E253" s="393"/>
      <c r="F253" s="393"/>
      <c r="G253" s="394"/>
      <c r="H253" s="84"/>
      <c r="J253" s="33" t="s">
        <v>470</v>
      </c>
      <c r="K253" s="96">
        <f>IF(ISNUMBER(L253),L253,IF(OR(C253=Pudotusvalikot!$D$67,C253=Pudotusvalikot!$D$68),"--",VLOOKUP(C253,Kalusto!$C$5:$E$42,3,FALSE)*IF(OR(C254=Pudotusvalikot!$V$3,C254=Pudotusvalikot!$V$4),Muut!$E$38,IF(C254=Pudotusvalikot!$V$5,Muut!$E$39,IF(C254=Pudotusvalikot!$V$6,Muut!$E$40,Muut!$E$41)))))</f>
        <v>34.130000000000003</v>
      </c>
      <c r="L253" s="40"/>
      <c r="M253" s="41" t="s">
        <v>205</v>
      </c>
      <c r="N253" s="41"/>
      <c r="O253" s="265"/>
      <c r="Q253" s="35"/>
      <c r="R253" s="50" t="str">
        <f>IF(ISNUMBER(K253*T253),K253*T253,"")</f>
        <v/>
      </c>
      <c r="S253" s="102" t="s">
        <v>172</v>
      </c>
      <c r="T253" s="50" t="str">
        <f>IF(ISNUMBER(C255),C255,"")</f>
        <v/>
      </c>
      <c r="U253" s="108"/>
      <c r="V253" s="61"/>
      <c r="W253" s="36"/>
      <c r="X253" s="36"/>
      <c r="Y253" s="36"/>
      <c r="Z253" s="36"/>
      <c r="AA253" s="36"/>
      <c r="AB253" s="36"/>
      <c r="AC253" s="36"/>
      <c r="AD253" s="36"/>
      <c r="AE253" s="36"/>
      <c r="AF253" s="36"/>
      <c r="AG253" s="36"/>
      <c r="AH253" s="36"/>
      <c r="AI253" s="36"/>
      <c r="AJ253" s="36"/>
      <c r="AK253" s="36"/>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9" s="31" customFormat="1" ht="15.5" x14ac:dyDescent="0.3">
      <c r="B254" s="170" t="s">
        <v>509</v>
      </c>
      <c r="C254" s="160" t="s">
        <v>242</v>
      </c>
      <c r="D254" s="34"/>
      <c r="E254" s="34"/>
      <c r="F254" s="34"/>
      <c r="G254" s="34"/>
      <c r="H254" s="59"/>
      <c r="J254" s="173"/>
      <c r="K254" s="173"/>
      <c r="L254" s="173"/>
      <c r="M254" s="41"/>
      <c r="N254" s="41"/>
      <c r="O254" s="265"/>
      <c r="Q254" s="47"/>
      <c r="R254" s="61"/>
      <c r="S254" s="102"/>
      <c r="T254" s="36"/>
      <c r="U254" s="36"/>
      <c r="V254" s="181"/>
      <c r="W254" s="181"/>
      <c r="X254" s="61"/>
      <c r="Y254" s="36"/>
      <c r="Z254" s="61"/>
      <c r="AA254" s="182"/>
      <c r="AB254" s="61"/>
      <c r="AC254" s="61"/>
      <c r="AD254" s="61"/>
      <c r="AE254" s="61"/>
      <c r="AF254" s="182"/>
      <c r="AG254" s="61"/>
      <c r="AH254" s="36"/>
      <c r="AI254" s="36"/>
      <c r="AJ254" s="36"/>
      <c r="AK254" s="108"/>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9" s="31" customFormat="1" ht="15.5" x14ac:dyDescent="0.3">
      <c r="B255" s="54" t="s">
        <v>473</v>
      </c>
      <c r="C255" s="193"/>
      <c r="D255" s="84" t="s">
        <v>51</v>
      </c>
      <c r="G255" s="34"/>
      <c r="H255" s="84"/>
      <c r="J255" s="33"/>
      <c r="K255" s="34"/>
      <c r="L255" s="34"/>
      <c r="M255" s="84"/>
      <c r="N255" s="84"/>
      <c r="O255" s="100"/>
      <c r="Q255" s="35"/>
      <c r="R255" s="36"/>
      <c r="S255" s="36"/>
      <c r="T255" s="36"/>
      <c r="U255" s="108"/>
      <c r="V255" s="36"/>
      <c r="W255" s="36"/>
      <c r="X255" s="36"/>
      <c r="Y255" s="36"/>
      <c r="Z255" s="36"/>
      <c r="AA255" s="36"/>
      <c r="AB255" s="36"/>
      <c r="AC255" s="36"/>
      <c r="AD255" s="36"/>
      <c r="AE255" s="36"/>
      <c r="AF255" s="36"/>
      <c r="AG255" s="36"/>
      <c r="AH255" s="36"/>
      <c r="AI255" s="36"/>
      <c r="AJ255" s="36"/>
      <c r="AK255" s="36"/>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9" s="31" customFormat="1" ht="15.5" x14ac:dyDescent="0.3">
      <c r="B256" s="155" t="s">
        <v>489</v>
      </c>
      <c r="C256" s="34"/>
      <c r="D256" s="84"/>
      <c r="G256" s="34"/>
      <c r="H256" s="84"/>
      <c r="J256" s="33"/>
      <c r="K256" s="38" t="s">
        <v>329</v>
      </c>
      <c r="L256" s="38" t="s">
        <v>201</v>
      </c>
      <c r="M256" s="84"/>
      <c r="N256" s="84"/>
      <c r="O256" s="100"/>
      <c r="Q256" s="35"/>
      <c r="R256" s="44" t="s">
        <v>350</v>
      </c>
      <c r="S256" s="36"/>
      <c r="T256" s="44" t="s">
        <v>275</v>
      </c>
      <c r="U256" s="108"/>
      <c r="V256" s="36"/>
      <c r="W256" s="44"/>
      <c r="X256" s="36"/>
      <c r="Y256" s="36"/>
      <c r="Z256" s="36"/>
      <c r="AA256" s="36"/>
      <c r="AB256" s="36"/>
      <c r="AC256" s="36"/>
      <c r="AD256" s="36"/>
      <c r="AE256" s="36"/>
      <c r="AF256" s="36"/>
      <c r="AG256" s="36"/>
      <c r="AH256" s="36"/>
      <c r="AI256" s="36"/>
      <c r="AJ256" s="36"/>
      <c r="AK256" s="36"/>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15.5" x14ac:dyDescent="0.3">
      <c r="B257" s="54" t="s">
        <v>510</v>
      </c>
      <c r="C257" s="392" t="s">
        <v>128</v>
      </c>
      <c r="D257" s="393"/>
      <c r="E257" s="393"/>
      <c r="F257" s="393"/>
      <c r="G257" s="394"/>
      <c r="H257" s="84"/>
      <c r="J257" s="33" t="s">
        <v>470</v>
      </c>
      <c r="K257" s="96">
        <f>IF(ISNUMBER(L257),L257,IF(OR(C257=Pudotusvalikot!$D$67,C257=Pudotusvalikot!$D$68),"--",VLOOKUP(C257,Kalusto!$C$5:$E$42,3,FALSE)*IF(OR(C258=Pudotusvalikot!$V$3,C258=Pudotusvalikot!$V$4),Muut!$E$38,IF(C258=Pudotusvalikot!$V$5,Muut!$E$39,IF(C258=Pudotusvalikot!$V$6,Muut!$E$40,Muut!$E$41)))))</f>
        <v>34.130000000000003</v>
      </c>
      <c r="L257" s="40"/>
      <c r="M257" s="41" t="s">
        <v>205</v>
      </c>
      <c r="N257" s="41"/>
      <c r="O257" s="265"/>
      <c r="Q257" s="35"/>
      <c r="R257" s="50" t="str">
        <f>IF(ISNUMBER(K257*T257),K257*T257,"")</f>
        <v/>
      </c>
      <c r="S257" s="102" t="s">
        <v>172</v>
      </c>
      <c r="T257" s="50" t="str">
        <f>IF(ISNUMBER(C259),C259,"")</f>
        <v/>
      </c>
      <c r="U257" s="108"/>
      <c r="V257" s="61"/>
      <c r="W257" s="36"/>
      <c r="X257" s="36"/>
      <c r="Y257" s="36"/>
      <c r="Z257" s="36"/>
      <c r="AA257" s="36"/>
      <c r="AB257" s="36"/>
      <c r="AC257" s="36"/>
      <c r="AD257" s="36"/>
      <c r="AE257" s="36"/>
      <c r="AF257" s="36"/>
      <c r="AG257" s="36"/>
      <c r="AH257" s="36"/>
      <c r="AI257" s="36"/>
      <c r="AJ257" s="36"/>
      <c r="AK257" s="36"/>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15.5" x14ac:dyDescent="0.3">
      <c r="B258" s="170" t="s">
        <v>509</v>
      </c>
      <c r="C258" s="160" t="s">
        <v>242</v>
      </c>
      <c r="D258" s="34"/>
      <c r="E258" s="34"/>
      <c r="F258" s="34"/>
      <c r="G258" s="34"/>
      <c r="H258" s="59"/>
      <c r="J258" s="173"/>
      <c r="K258" s="173"/>
      <c r="L258" s="173"/>
      <c r="M258" s="41"/>
      <c r="N258" s="41"/>
      <c r="O258" s="265"/>
      <c r="Q258" s="47"/>
      <c r="R258" s="61"/>
      <c r="S258" s="102"/>
      <c r="T258" s="36"/>
      <c r="U258" s="36"/>
      <c r="V258" s="181"/>
      <c r="W258" s="181"/>
      <c r="X258" s="61"/>
      <c r="Y258" s="36"/>
      <c r="Z258" s="61"/>
      <c r="AA258" s="182"/>
      <c r="AB258" s="61"/>
      <c r="AC258" s="61"/>
      <c r="AD258" s="61"/>
      <c r="AE258" s="61"/>
      <c r="AF258" s="182"/>
      <c r="AG258" s="61"/>
      <c r="AH258" s="36"/>
      <c r="AI258" s="36"/>
      <c r="AJ258" s="36"/>
      <c r="AK258" s="108"/>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5" x14ac:dyDescent="0.3">
      <c r="B259" s="54" t="s">
        <v>473</v>
      </c>
      <c r="C259" s="193"/>
      <c r="D259" s="84" t="s">
        <v>51</v>
      </c>
      <c r="G259" s="34"/>
      <c r="H259" s="84"/>
      <c r="J259" s="33"/>
      <c r="K259" s="34"/>
      <c r="L259" s="34"/>
      <c r="M259" s="84"/>
      <c r="N259" s="84"/>
      <c r="O259" s="100"/>
      <c r="Q259" s="35"/>
      <c r="R259" s="99"/>
      <c r="S259" s="36"/>
      <c r="T259" s="36"/>
      <c r="U259" s="36"/>
      <c r="V259" s="36"/>
      <c r="W259" s="36"/>
      <c r="X259" s="36"/>
      <c r="Y259" s="36"/>
      <c r="Z259" s="36"/>
      <c r="AA259" s="36"/>
      <c r="AB259" s="36"/>
      <c r="AC259" s="36"/>
      <c r="AD259" s="36"/>
      <c r="AE259" s="36"/>
      <c r="AF259" s="36"/>
      <c r="AG259" s="36"/>
      <c r="AH259" s="36"/>
      <c r="AI259" s="36"/>
      <c r="AJ259" s="36"/>
      <c r="AK259" s="36"/>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15.5" x14ac:dyDescent="0.3">
      <c r="C260" s="34"/>
      <c r="D260" s="84"/>
      <c r="G260" s="34"/>
      <c r="H260" s="84"/>
      <c r="K260" s="34"/>
      <c r="L260" s="34"/>
      <c r="M260" s="84"/>
      <c r="N260" s="84"/>
      <c r="O260" s="84"/>
      <c r="Q260" s="35"/>
      <c r="R260" s="99"/>
      <c r="S260" s="36"/>
      <c r="T260" s="36"/>
      <c r="U260" s="36"/>
      <c r="V260" s="36"/>
      <c r="W260" s="36"/>
      <c r="X260" s="36"/>
      <c r="Y260" s="36"/>
      <c r="Z260" s="36"/>
      <c r="AA260" s="36"/>
      <c r="AB260" s="36"/>
      <c r="AC260" s="36"/>
      <c r="AD260" s="36"/>
      <c r="AE260" s="36"/>
      <c r="AF260" s="36"/>
      <c r="AG260" s="36"/>
      <c r="AH260" s="36"/>
      <c r="AI260" s="36"/>
      <c r="AJ260" s="36"/>
      <c r="AK260" s="36"/>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298" customFormat="1" ht="18" x14ac:dyDescent="0.3">
      <c r="B261" s="295" t="s">
        <v>745</v>
      </c>
      <c r="C261" s="296"/>
      <c r="D261" s="297"/>
      <c r="G261" s="296"/>
      <c r="H261" s="297"/>
      <c r="K261" s="296"/>
      <c r="L261" s="296"/>
      <c r="M261" s="297"/>
      <c r="N261" s="297"/>
      <c r="O261" s="300"/>
      <c r="P261" s="320"/>
      <c r="Q261" s="304"/>
      <c r="R261" s="298" t="str">
        <f>IF(OR(ISNUMBER(#REF!),ISNUMBER(#REF!),ISNUMBER(#REF!),ISNUMBER(#REF!),ISNUMBER(#REF!)),SUM(#REF!,#REF!,#REF!,#REF!,#REF!),"")</f>
        <v/>
      </c>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304"/>
      <c r="AP261" s="304"/>
      <c r="AQ261" s="304"/>
      <c r="AR261" s="304"/>
      <c r="AS261" s="304"/>
      <c r="AT261" s="304"/>
      <c r="AU261" s="304"/>
      <c r="AV261" s="304"/>
      <c r="AW261" s="304"/>
      <c r="AX261" s="304"/>
      <c r="AY261" s="304"/>
      <c r="AZ261" s="304"/>
      <c r="BA261" s="304"/>
      <c r="BB261" s="304"/>
      <c r="BC261" s="304"/>
      <c r="BD261" s="304"/>
      <c r="BE261" s="304"/>
    </row>
    <row r="262" spans="2:57" s="31" customFormat="1" ht="15.5" x14ac:dyDescent="0.3">
      <c r="B262" s="9"/>
      <c r="C262" s="34"/>
      <c r="D262" s="84"/>
      <c r="E262" s="34"/>
      <c r="F262" s="34"/>
      <c r="G262" s="38"/>
      <c r="H262" s="84"/>
      <c r="J262" s="33"/>
      <c r="K262" s="38"/>
      <c r="L262" s="38"/>
      <c r="M262" s="86"/>
      <c r="N262" s="86"/>
      <c r="O262" s="86"/>
      <c r="P262" s="38"/>
      <c r="Q262" s="35"/>
      <c r="R262" s="106"/>
      <c r="S262" s="36"/>
      <c r="T262" s="36"/>
      <c r="U262" s="36"/>
      <c r="V262" s="44"/>
      <c r="W262" s="36"/>
      <c r="X262" s="44"/>
      <c r="Y262" s="44"/>
      <c r="Z262" s="44"/>
      <c r="AA262" s="44"/>
      <c r="AB262" s="44"/>
      <c r="AC262" s="44"/>
      <c r="AD262" s="44"/>
      <c r="AE262" s="44"/>
      <c r="AF262" s="44"/>
      <c r="AG262" s="44"/>
      <c r="AH262" s="44"/>
      <c r="AI262" s="36"/>
      <c r="AJ262" s="36"/>
      <c r="AK262" s="36"/>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15.5" x14ac:dyDescent="0.3">
      <c r="B263" s="155" t="s">
        <v>0</v>
      </c>
      <c r="C263" s="34" t="s">
        <v>50</v>
      </c>
      <c r="D263" s="84"/>
      <c r="E263" s="34"/>
      <c r="F263" s="34"/>
      <c r="G263" s="38" t="s">
        <v>199</v>
      </c>
      <c r="H263" s="84"/>
      <c r="J263" s="33"/>
      <c r="K263" s="38" t="s">
        <v>329</v>
      </c>
      <c r="L263" s="38" t="s">
        <v>201</v>
      </c>
      <c r="M263" s="86"/>
      <c r="N263" s="86"/>
      <c r="O263" s="255" t="s">
        <v>644</v>
      </c>
      <c r="P263" s="38"/>
      <c r="Q263" s="35"/>
      <c r="R263" s="44" t="s">
        <v>350</v>
      </c>
      <c r="S263" s="36"/>
      <c r="T263" s="36" t="s">
        <v>446</v>
      </c>
      <c r="U263" s="36" t="s">
        <v>445</v>
      </c>
      <c r="V263" s="44" t="s">
        <v>443</v>
      </c>
      <c r="W263" s="36" t="s">
        <v>444</v>
      </c>
      <c r="X263" s="44" t="s">
        <v>447</v>
      </c>
      <c r="Y263" s="44" t="s">
        <v>449</v>
      </c>
      <c r="Z263" s="44" t="s">
        <v>448</v>
      </c>
      <c r="AA263" s="44" t="s">
        <v>202</v>
      </c>
      <c r="AB263" s="44" t="s">
        <v>380</v>
      </c>
      <c r="AC263" s="44" t="s">
        <v>450</v>
      </c>
      <c r="AD263" s="44" t="s">
        <v>381</v>
      </c>
      <c r="AE263" s="44" t="s">
        <v>451</v>
      </c>
      <c r="AF263" s="44" t="s">
        <v>452</v>
      </c>
      <c r="AG263" s="44" t="s">
        <v>638</v>
      </c>
      <c r="AH263" s="36" t="s">
        <v>206</v>
      </c>
      <c r="AI263" s="36" t="s">
        <v>278</v>
      </c>
      <c r="AJ263" s="36" t="s">
        <v>207</v>
      </c>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46.5" x14ac:dyDescent="0.3">
      <c r="B264" s="170" t="s">
        <v>553</v>
      </c>
      <c r="C264" s="160"/>
      <c r="D264" s="89" t="s">
        <v>52</v>
      </c>
      <c r="E264" s="59"/>
      <c r="F264" s="57"/>
      <c r="G264" s="161"/>
      <c r="H264" s="84" t="str">
        <f>IF(D264="t","","t/m3")</f>
        <v/>
      </c>
      <c r="J264" s="173" t="s">
        <v>441</v>
      </c>
      <c r="K264" s="96">
        <f>IF(ISNUMBER(L264),L264,IF(OR(C265=Pudotusvalikot!$D$14,C265=Pudotusvalikot!$D$15),Kalusto!$G$96,VLOOKUP(C265,Kalusto!$C$44:$G$83,5,FALSE))*IF(OR(C266=Pudotusvalikot!$V$3,C266=Pudotusvalikot!$V$4),Muut!$E$38,IF(C266=Pudotusvalikot!$V$5,Muut!$E$39,IF(C266=Pudotusvalikot!$V$6,Muut!$E$40,Muut!$E$41))))</f>
        <v>5.7709999999999997E-2</v>
      </c>
      <c r="L264" s="40"/>
      <c r="M264" s="41" t="s">
        <v>200</v>
      </c>
      <c r="N264" s="41"/>
      <c r="O264" s="256"/>
      <c r="Q264" s="47"/>
      <c r="R264" s="50" t="str">
        <f ca="1">IF(AND(NOT(ISNUMBER(AB264)),NOT(ISNUMBER(AG264))),"",IF(ISNUMBER(AB264),AB264,0)+IF(ISNUMBER(AG264),AG264,0))</f>
        <v/>
      </c>
      <c r="S264" s="102" t="s">
        <v>172</v>
      </c>
      <c r="T264" s="48" t="str">
        <f>IF(ISNUMBER(L264),"Kohdetieto",IF(OR(C265=Pudotusvalikot!$D$14,C265=Pudotusvalikot!$D$15),Kalusto!$I$96,VLOOKUP(C265,Kalusto!$C$44:$L$83,7,FALSE)))</f>
        <v>Maansiirtoauto</v>
      </c>
      <c r="U264" s="48">
        <f>IF(ISNUMBER(L264),"Kohdetieto",IF(OR(C265=Pudotusvalikot!$D$14,C265=Pudotusvalikot!$D$15),Kalusto!$J$96,VLOOKUP(C265,Kalusto!$C$44:$L$83,8,FALSE)))</f>
        <v>32</v>
      </c>
      <c r="V264" s="49">
        <f>IF(ISNUMBER(L264),"Kohdetieto",IF(OR(C265=Pudotusvalikot!$D$14,C265=Pudotusvalikot!$D$15),Kalusto!$K$96,VLOOKUP(C265,Kalusto!$C$44:$L$83,9,FALSE)))</f>
        <v>0.8</v>
      </c>
      <c r="W264" s="49" t="str">
        <f>IF(ISNUMBER(L264),"Kohdetieto",IF(OR(C265=Pudotusvalikot!$D$14,C265=Pudotusvalikot!$D$15),Kalusto!$L$96,VLOOKUP(C265,Kalusto!$C$44:$L$83,10,FALSE)))</f>
        <v>maantieajo</v>
      </c>
      <c r="X264" s="50" t="str">
        <f>IF(ISBLANK(C264),"",IF(D264="t",C264,C264*G264))</f>
        <v/>
      </c>
      <c r="Y264" s="48" t="str">
        <f>IF(ISNUMBER(C267),C267,"")</f>
        <v/>
      </c>
      <c r="Z264" s="50" t="str">
        <f>IF(ISNUMBER(X264/(U264*V264)*Y264),X264/(U264*V264)*Y264,"")</f>
        <v/>
      </c>
      <c r="AA264" s="51">
        <f>IF(ISNUMBER(L264),L264,K264)</f>
        <v>5.7709999999999997E-2</v>
      </c>
      <c r="AB264" s="50" t="str">
        <f>IF(ISNUMBER(Y264*X264*K264),Y264*X264*K264,"")</f>
        <v/>
      </c>
      <c r="AC264" s="50" t="str">
        <f>IF(ISNUMBER(Y264),Y264,"")</f>
        <v/>
      </c>
      <c r="AD264" s="50" t="str">
        <f>IF(ISNUMBER(X264),IF(ISNUMBER(X264/(U264*V264)),CEILING(X264/(U264*V264),1),""),"")</f>
        <v/>
      </c>
      <c r="AE264" s="50" t="str">
        <f>IF(ISNUMBER(AD264*AC264),AD264*AC264,"")</f>
        <v/>
      </c>
      <c r="AF264" s="51">
        <f ca="1">IF(ISNUMBER(L265),L265,K265)</f>
        <v>0.71940999999999999</v>
      </c>
      <c r="AG264" s="50" t="str">
        <f ca="1">IF(ISNUMBER(AC264*AD264*K265),AC264*AD264*K265,"")</f>
        <v/>
      </c>
      <c r="AH264" s="48">
        <f>IF(T264="Jakelukuorma-auto",0,IF(T264="Maansiirtoauto",4,IF(T264="Puoliperävaunu",6,8)))</f>
        <v>4</v>
      </c>
      <c r="AI264" s="48">
        <f>IF(AND(T264="Jakelukuorma-auto",U264=6),0,IF(AND(T264="Jakelukuorma-auto",U264=15),2,0))</f>
        <v>0</v>
      </c>
      <c r="AJ264" s="48">
        <f>IF(W264="maantieajo",0,1)</f>
        <v>0</v>
      </c>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31" x14ac:dyDescent="0.3">
      <c r="B265" s="170" t="s">
        <v>550</v>
      </c>
      <c r="C265" s="392" t="s">
        <v>330</v>
      </c>
      <c r="D265" s="393"/>
      <c r="E265" s="393"/>
      <c r="F265" s="393"/>
      <c r="G265" s="394"/>
      <c r="J265" s="33" t="s">
        <v>442</v>
      </c>
      <c r="K265" s="96">
        <f ca="1">IF(ISNUMBER(L265),L265,IF($C$101="Ei","",IF(AND($C$101="Kyllä",OR(C265=Pudotusvalikot!$D$14,C265=Pudotusvalikot!$D$15)),Kalusto!$G$97,OFFSET(Kalusto!$G$85,AH264+AJ264+AI264,0,1,1)))*IF(OR(C266=Pudotusvalikot!$V$3,C266=Pudotusvalikot!$V$4),Muut!$E$38,IF(C266=Pudotusvalikot!$V$5,Muut!$E$39,IF(C266=Pudotusvalikot!$V$6,Muut!$E$40,Muut!$E$41))))</f>
        <v>0.71940999999999999</v>
      </c>
      <c r="L265" s="40"/>
      <c r="M265" s="41" t="s">
        <v>204</v>
      </c>
      <c r="N265" s="41"/>
      <c r="O265" s="265"/>
      <c r="P265" s="34"/>
      <c r="Q265" s="52"/>
      <c r="R265" s="36"/>
      <c r="S265" s="36"/>
      <c r="T265" s="36"/>
      <c r="U265" s="36"/>
      <c r="V265" s="36"/>
      <c r="W265" s="36"/>
      <c r="X265" s="36"/>
      <c r="Y265" s="36"/>
      <c r="Z265" s="36"/>
      <c r="AA265" s="36"/>
      <c r="AB265" s="36"/>
      <c r="AC265" s="36"/>
      <c r="AD265" s="36"/>
      <c r="AE265" s="36"/>
      <c r="AF265" s="36"/>
      <c r="AG265" s="36"/>
      <c r="AH265" s="36"/>
      <c r="AI265" s="36"/>
      <c r="AJ265" s="36"/>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5" x14ac:dyDescent="0.3">
      <c r="B266" s="186" t="s">
        <v>506</v>
      </c>
      <c r="C266" s="160" t="s">
        <v>242</v>
      </c>
      <c r="D266" s="34"/>
      <c r="E266" s="34"/>
      <c r="F266" s="34"/>
      <c r="G266" s="34"/>
      <c r="H266" s="59"/>
      <c r="J266" s="173"/>
      <c r="K266" s="173"/>
      <c r="L266" s="173"/>
      <c r="M266" s="41"/>
      <c r="N266" s="41"/>
      <c r="O266" s="265"/>
      <c r="Q266" s="47"/>
      <c r="R266" s="102"/>
      <c r="S266" s="102"/>
      <c r="T266" s="36"/>
      <c r="U266" s="36"/>
      <c r="V266" s="181"/>
      <c r="W266" s="181"/>
      <c r="X266" s="61"/>
      <c r="Y266" s="36"/>
      <c r="Z266" s="61"/>
      <c r="AA266" s="182"/>
      <c r="AB266" s="61"/>
      <c r="AC266" s="61"/>
      <c r="AD266" s="61"/>
      <c r="AE266" s="61"/>
      <c r="AF266" s="182"/>
      <c r="AG266" s="61"/>
      <c r="AH266" s="36"/>
      <c r="AI266" s="36"/>
      <c r="AJ266" s="36"/>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15.5" x14ac:dyDescent="0.3">
      <c r="B267" s="45" t="s">
        <v>549</v>
      </c>
      <c r="C267" s="160"/>
      <c r="D267" s="84" t="s">
        <v>5</v>
      </c>
      <c r="G267" s="34"/>
      <c r="H267" s="54"/>
      <c r="I267" s="53"/>
      <c r="J267" s="53"/>
      <c r="K267" s="34"/>
      <c r="L267" s="34"/>
      <c r="M267" s="84"/>
      <c r="N267" s="84"/>
      <c r="O267" s="100"/>
      <c r="P267" s="53"/>
      <c r="Q267" s="52"/>
      <c r="R267" s="36"/>
      <c r="S267" s="36"/>
      <c r="T267" s="36"/>
      <c r="U267" s="36"/>
      <c r="V267" s="36"/>
      <c r="W267" s="36"/>
      <c r="X267" s="36"/>
      <c r="Y267" s="36"/>
      <c r="Z267" s="36"/>
      <c r="AA267" s="36"/>
      <c r="AB267" s="36"/>
      <c r="AC267" s="36"/>
      <c r="AD267" s="36"/>
      <c r="AE267" s="36"/>
      <c r="AF267" s="36"/>
      <c r="AG267" s="36"/>
      <c r="AH267" s="36"/>
      <c r="AI267" s="36"/>
      <c r="AJ267" s="36"/>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15.5" x14ac:dyDescent="0.3">
      <c r="B268" s="155" t="s">
        <v>1</v>
      </c>
      <c r="C268" s="34"/>
      <c r="D268" s="84"/>
      <c r="E268" s="34"/>
      <c r="F268" s="34"/>
      <c r="G268" s="38"/>
      <c r="H268" s="84"/>
      <c r="J268" s="33"/>
      <c r="K268" s="38" t="s">
        <v>329</v>
      </c>
      <c r="L268" s="38" t="s">
        <v>201</v>
      </c>
      <c r="M268" s="84"/>
      <c r="N268" s="84"/>
      <c r="O268" s="100"/>
      <c r="P268" s="34"/>
      <c r="Q268" s="35"/>
      <c r="R268" s="44" t="s">
        <v>350</v>
      </c>
      <c r="S268" s="36"/>
      <c r="T268" s="36" t="s">
        <v>446</v>
      </c>
      <c r="U268" s="36" t="s">
        <v>445</v>
      </c>
      <c r="V268" s="44" t="s">
        <v>443</v>
      </c>
      <c r="W268" s="36" t="s">
        <v>444</v>
      </c>
      <c r="X268" s="44" t="s">
        <v>447</v>
      </c>
      <c r="Y268" s="44" t="s">
        <v>449</v>
      </c>
      <c r="Z268" s="44" t="s">
        <v>448</v>
      </c>
      <c r="AA268" s="44" t="s">
        <v>202</v>
      </c>
      <c r="AB268" s="44" t="s">
        <v>380</v>
      </c>
      <c r="AC268" s="44" t="s">
        <v>450</v>
      </c>
      <c r="AD268" s="44" t="s">
        <v>381</v>
      </c>
      <c r="AE268" s="44" t="s">
        <v>451</v>
      </c>
      <c r="AF268" s="44" t="s">
        <v>452</v>
      </c>
      <c r="AG268" s="44" t="s">
        <v>638</v>
      </c>
      <c r="AH268" s="36" t="s">
        <v>206</v>
      </c>
      <c r="AI268" s="36" t="s">
        <v>278</v>
      </c>
      <c r="AJ268" s="36" t="s">
        <v>207</v>
      </c>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46.5" x14ac:dyDescent="0.3">
      <c r="B269" s="170" t="s">
        <v>553</v>
      </c>
      <c r="C269" s="160"/>
      <c r="D269" s="89" t="s">
        <v>52</v>
      </c>
      <c r="E269" s="59"/>
      <c r="F269" s="57"/>
      <c r="G269" s="161"/>
      <c r="H269" s="84" t="str">
        <f>IF(D269="t","","t/m3")</f>
        <v/>
      </c>
      <c r="J269" s="173" t="s">
        <v>441</v>
      </c>
      <c r="K269" s="96">
        <f>IF(ISNUMBER(L269),L269,IF(OR(C270=Pudotusvalikot!$D$14,C270=Pudotusvalikot!$D$15),Kalusto!$G$96,VLOOKUP(C270,Kalusto!$C$44:$G$83,5,FALSE))*IF(OR(C271=Pudotusvalikot!$V$3,C271=Pudotusvalikot!$V$4),Muut!$E$38,IF(C271=Pudotusvalikot!$V$5,Muut!$E$39,IF(C271=Pudotusvalikot!$V$6,Muut!$E$40,Muut!$E$41))))</f>
        <v>5.7709999999999997E-2</v>
      </c>
      <c r="L269" s="40"/>
      <c r="M269" s="41" t="s">
        <v>200</v>
      </c>
      <c r="N269" s="41"/>
      <c r="O269" s="265"/>
      <c r="Q269" s="47"/>
      <c r="R269" s="50" t="str">
        <f ca="1">IF(AND(NOT(ISNUMBER(AB269)),NOT(ISNUMBER(AG269))),"",IF(ISNUMBER(AB269),AB269,0)+IF(ISNUMBER(AG269),AG269,0))</f>
        <v/>
      </c>
      <c r="S269" s="102" t="s">
        <v>172</v>
      </c>
      <c r="T269" s="48" t="str">
        <f>IF(ISNUMBER(L269),"Kohdetieto",IF(OR(C270=Pudotusvalikot!$D$14,C270=Pudotusvalikot!$D$15),Kalusto!$I$96,VLOOKUP(C270,Kalusto!$C$44:$L$83,7,FALSE)))</f>
        <v>Maansiirtoauto</v>
      </c>
      <c r="U269" s="48">
        <f>IF(ISNUMBER(L269),"Kohdetieto",IF(OR(C270=Pudotusvalikot!$D$14,C270=Pudotusvalikot!$D$15),Kalusto!$J$96,VLOOKUP(C270,Kalusto!$C$44:$L$83,8,FALSE)))</f>
        <v>32</v>
      </c>
      <c r="V269" s="49">
        <f>IF(ISNUMBER(L269),"Kohdetieto",IF(OR(C270=Pudotusvalikot!$D$14,C270=Pudotusvalikot!$D$15),Kalusto!$K$96,VLOOKUP(C270,Kalusto!$C$44:$L$83,9,FALSE)))</f>
        <v>0.8</v>
      </c>
      <c r="W269" s="49" t="str">
        <f>IF(ISNUMBER(L269),"Kohdetieto",IF(OR(C270=Pudotusvalikot!$D$14,C270=Pudotusvalikot!$D$15),Kalusto!$L$96,VLOOKUP(C270,Kalusto!$C$44:$L$83,10,FALSE)))</f>
        <v>maantieajo</v>
      </c>
      <c r="X269" s="50" t="str">
        <f>IF(ISBLANK(C269),"",IF(D269="t",C269,C269*G269))</f>
        <v/>
      </c>
      <c r="Y269" s="48" t="str">
        <f>IF(ISNUMBER(C272),C272,"")</f>
        <v/>
      </c>
      <c r="Z269" s="50" t="str">
        <f>IF(ISNUMBER(X269/(U269*V269)*Y269),X269/(U269*V269)*Y269,"")</f>
        <v/>
      </c>
      <c r="AA269" s="51">
        <f>IF(ISNUMBER(L269),L269,K269)</f>
        <v>5.7709999999999997E-2</v>
      </c>
      <c r="AB269" s="50" t="str">
        <f>IF(ISNUMBER(Y269*X269*K269),Y269*X269*K269,"")</f>
        <v/>
      </c>
      <c r="AC269" s="50" t="str">
        <f>IF(ISNUMBER(Y269),Y269,"")</f>
        <v/>
      </c>
      <c r="AD269" s="50" t="str">
        <f>IF(ISNUMBER(X269),IF(ISNUMBER(X269/(U269*V269)),CEILING(X269/(U269*V269),1),""),"")</f>
        <v/>
      </c>
      <c r="AE269" s="50" t="str">
        <f>IF(ISNUMBER(AD269*AC269),AD269*AC269,"")</f>
        <v/>
      </c>
      <c r="AF269" s="51">
        <f ca="1">IF(ISNUMBER(L270),L270,K270)</f>
        <v>0.71940999999999999</v>
      </c>
      <c r="AG269" s="50" t="str">
        <f ca="1">IF(ISNUMBER(AC269*AD269*K270),AC269*AD269*K270,"")</f>
        <v/>
      </c>
      <c r="AH269" s="48">
        <f>IF(T269="Jakelukuorma-auto",0,IF(T269="Maansiirtoauto",4,IF(T269="Puoliperävaunu",6,8)))</f>
        <v>4</v>
      </c>
      <c r="AI269" s="48">
        <f>IF(AND(T269="Jakelukuorma-auto",U269=6),0,IF(AND(T269="Jakelukuorma-auto",U269=15),2,0))</f>
        <v>0</v>
      </c>
      <c r="AJ269" s="48">
        <f>IF(W269="maantieajo",0,1)</f>
        <v>0</v>
      </c>
      <c r="AK269" s="108"/>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31" x14ac:dyDescent="0.3">
      <c r="B270" s="170" t="s">
        <v>550</v>
      </c>
      <c r="C270" s="392" t="s">
        <v>330</v>
      </c>
      <c r="D270" s="393"/>
      <c r="E270" s="393"/>
      <c r="F270" s="393"/>
      <c r="G270" s="394"/>
      <c r="H270" s="31" t="s">
        <v>203</v>
      </c>
      <c r="J270" s="33" t="s">
        <v>442</v>
      </c>
      <c r="K270" s="96">
        <f ca="1">IF(ISNUMBER(L270),L270,IF($C$101="Ei","",IF(AND($C$101="Kyllä",OR(C270=Pudotusvalikot!$D$14,C270=Pudotusvalikot!$D$15)),Kalusto!$G$97,OFFSET(Kalusto!$G$85,AH269+AJ269+AI269,0,1,1)))*IF(OR(C271=Pudotusvalikot!$V$3,C271=Pudotusvalikot!$V$4),Muut!$E$38,IF(C271=Pudotusvalikot!$V$5,Muut!$E$39,IF(C271=Pudotusvalikot!$V$6,Muut!$E$40,Muut!$E$41))))</f>
        <v>0.71940999999999999</v>
      </c>
      <c r="L270" s="40"/>
      <c r="M270" s="41" t="s">
        <v>204</v>
      </c>
      <c r="N270" s="41"/>
      <c r="O270" s="265"/>
      <c r="P270" s="34"/>
      <c r="Q270" s="52"/>
      <c r="R270" s="36"/>
      <c r="S270" s="36"/>
      <c r="T270" s="36"/>
      <c r="U270" s="36"/>
      <c r="V270" s="36"/>
      <c r="W270" s="36"/>
      <c r="X270" s="36"/>
      <c r="Y270" s="36"/>
      <c r="Z270" s="36"/>
      <c r="AA270" s="36"/>
      <c r="AB270" s="36"/>
      <c r="AC270" s="36"/>
      <c r="AD270" s="36"/>
      <c r="AE270" s="36"/>
      <c r="AF270" s="36"/>
      <c r="AG270" s="36"/>
      <c r="AH270" s="36"/>
      <c r="AI270" s="36"/>
      <c r="AJ270" s="36"/>
      <c r="AK270" s="108"/>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15.5" x14ac:dyDescent="0.3">
      <c r="B271" s="186" t="s">
        <v>506</v>
      </c>
      <c r="C271" s="160" t="s">
        <v>242</v>
      </c>
      <c r="D271" s="34"/>
      <c r="E271" s="34"/>
      <c r="F271" s="34"/>
      <c r="G271" s="34"/>
      <c r="H271" s="59"/>
      <c r="J271" s="173"/>
      <c r="K271" s="173"/>
      <c r="L271" s="173"/>
      <c r="M271" s="41"/>
      <c r="N271" s="41"/>
      <c r="O271" s="265"/>
      <c r="Q271" s="47"/>
      <c r="R271" s="102"/>
      <c r="S271" s="102"/>
      <c r="T271" s="36"/>
      <c r="U271" s="36"/>
      <c r="V271" s="181"/>
      <c r="W271" s="181"/>
      <c r="X271" s="61"/>
      <c r="Y271" s="36"/>
      <c r="Z271" s="61"/>
      <c r="AA271" s="182"/>
      <c r="AB271" s="61"/>
      <c r="AC271" s="61"/>
      <c r="AD271" s="61"/>
      <c r="AE271" s="61"/>
      <c r="AF271" s="182"/>
      <c r="AG271" s="61"/>
      <c r="AH271" s="36"/>
      <c r="AI271" s="36"/>
      <c r="AJ271" s="36"/>
      <c r="AK271" s="108"/>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5" x14ac:dyDescent="0.3">
      <c r="B272" s="45" t="s">
        <v>549</v>
      </c>
      <c r="C272" s="160"/>
      <c r="D272" s="84" t="s">
        <v>5</v>
      </c>
      <c r="G272" s="34"/>
      <c r="H272" s="54"/>
      <c r="I272" s="53"/>
      <c r="J272" s="53"/>
      <c r="K272" s="34"/>
      <c r="L272" s="34"/>
      <c r="M272" s="84"/>
      <c r="N272" s="84"/>
      <c r="O272" s="100"/>
      <c r="P272" s="53"/>
      <c r="Q272" s="52"/>
      <c r="R272" s="36"/>
      <c r="S272" s="36"/>
      <c r="T272" s="36"/>
      <c r="U272" s="36"/>
      <c r="V272" s="36"/>
      <c r="W272" s="36"/>
      <c r="X272" s="36"/>
      <c r="Y272" s="36"/>
      <c r="Z272" s="36"/>
      <c r="AA272" s="36"/>
      <c r="AB272" s="36"/>
      <c r="AC272" s="36"/>
      <c r="AD272" s="36"/>
      <c r="AE272" s="36"/>
      <c r="AF272" s="36"/>
      <c r="AG272" s="36"/>
      <c r="AH272" s="36"/>
      <c r="AI272" s="36"/>
      <c r="AJ272" s="36"/>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15.5" x14ac:dyDescent="0.3">
      <c r="B273" s="155" t="s">
        <v>2</v>
      </c>
      <c r="C273" s="34"/>
      <c r="D273" s="84"/>
      <c r="E273" s="34"/>
      <c r="F273" s="34"/>
      <c r="G273" s="38"/>
      <c r="H273" s="84"/>
      <c r="J273" s="33"/>
      <c r="K273" s="38" t="s">
        <v>329</v>
      </c>
      <c r="L273" s="38" t="s">
        <v>201</v>
      </c>
      <c r="M273" s="84"/>
      <c r="N273" s="84"/>
      <c r="O273" s="100"/>
      <c r="P273" s="34"/>
      <c r="Q273" s="35"/>
      <c r="R273" s="44" t="s">
        <v>350</v>
      </c>
      <c r="S273" s="36"/>
      <c r="T273" s="36" t="s">
        <v>446</v>
      </c>
      <c r="U273" s="36" t="s">
        <v>445</v>
      </c>
      <c r="V273" s="44" t="s">
        <v>443</v>
      </c>
      <c r="W273" s="36" t="s">
        <v>444</v>
      </c>
      <c r="X273" s="44" t="s">
        <v>447</v>
      </c>
      <c r="Y273" s="44" t="s">
        <v>449</v>
      </c>
      <c r="Z273" s="44" t="s">
        <v>448</v>
      </c>
      <c r="AA273" s="44" t="s">
        <v>202</v>
      </c>
      <c r="AB273" s="44" t="s">
        <v>380</v>
      </c>
      <c r="AC273" s="44" t="s">
        <v>450</v>
      </c>
      <c r="AD273" s="44" t="s">
        <v>381</v>
      </c>
      <c r="AE273" s="44" t="s">
        <v>451</v>
      </c>
      <c r="AF273" s="44" t="s">
        <v>452</v>
      </c>
      <c r="AG273" s="44" t="s">
        <v>638</v>
      </c>
      <c r="AH273" s="36" t="s">
        <v>206</v>
      </c>
      <c r="AI273" s="36" t="s">
        <v>278</v>
      </c>
      <c r="AJ273" s="36" t="s">
        <v>207</v>
      </c>
      <c r="AK273" s="108"/>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31" customFormat="1" ht="46.5" x14ac:dyDescent="0.3">
      <c r="B274" s="170" t="s">
        <v>553</v>
      </c>
      <c r="C274" s="160"/>
      <c r="D274" s="89" t="s">
        <v>52</v>
      </c>
      <c r="E274" s="59"/>
      <c r="F274" s="57"/>
      <c r="G274" s="161"/>
      <c r="H274" s="84" t="str">
        <f>IF(D274="t","","t/m3")</f>
        <v/>
      </c>
      <c r="J274" s="173" t="s">
        <v>441</v>
      </c>
      <c r="K274" s="96">
        <f>IF(ISNUMBER(L274),L274,IF(OR(C275=Pudotusvalikot!$D$14,C275=Pudotusvalikot!$D$15),Kalusto!$G$96,VLOOKUP(C275,Kalusto!$C$44:$G$83,5,FALSE))*IF(OR(C276=Pudotusvalikot!$V$3,C276=Pudotusvalikot!$V$4),Muut!$E$38,IF(C276=Pudotusvalikot!$V$5,Muut!$E$39,IF(C276=Pudotusvalikot!$V$6,Muut!$E$40,Muut!$E$41))))</f>
        <v>5.7709999999999997E-2</v>
      </c>
      <c r="L274" s="40"/>
      <c r="M274" s="41" t="s">
        <v>200</v>
      </c>
      <c r="N274" s="41"/>
      <c r="O274" s="265"/>
      <c r="Q274" s="47"/>
      <c r="R274" s="50" t="str">
        <f ca="1">IF(AND(NOT(ISNUMBER(AB274)),NOT(ISNUMBER(AG274))),"",IF(ISNUMBER(AB274),AB274,0)+IF(ISNUMBER(AG274),AG274,0))</f>
        <v/>
      </c>
      <c r="S274" s="102" t="s">
        <v>172</v>
      </c>
      <c r="T274" s="48" t="str">
        <f>IF(ISNUMBER(L274),"Kohdetieto",IF(OR(C275=Pudotusvalikot!$D$14,C275=Pudotusvalikot!$D$15),Kalusto!$I$96,VLOOKUP(C275,Kalusto!$C$44:$L$83,7,FALSE)))</f>
        <v>Maansiirtoauto</v>
      </c>
      <c r="U274" s="48">
        <f>IF(ISNUMBER(L274),"Kohdetieto",IF(OR(C275=Pudotusvalikot!$D$14,C275=Pudotusvalikot!$D$15),Kalusto!$J$96,VLOOKUP(C275,Kalusto!$C$44:$L$83,8,FALSE)))</f>
        <v>32</v>
      </c>
      <c r="V274" s="49">
        <f>IF(ISNUMBER(L274),"Kohdetieto",IF(OR(C275=Pudotusvalikot!$D$14,C275=Pudotusvalikot!$D$15),Kalusto!$K$96,VLOOKUP(C275,Kalusto!$C$44:$L$83,9,FALSE)))</f>
        <v>0.8</v>
      </c>
      <c r="W274" s="49" t="str">
        <f>IF(ISNUMBER(L274),"Kohdetieto",IF(OR(C275=Pudotusvalikot!$D$14,C275=Pudotusvalikot!$D$15),Kalusto!$L$96,VLOOKUP(C275,Kalusto!$C$44:$L$83,10,FALSE)))</f>
        <v>maantieajo</v>
      </c>
      <c r="X274" s="50" t="str">
        <f>IF(ISBLANK(C274),"",IF(D274="t",C274,C274*G274))</f>
        <v/>
      </c>
      <c r="Y274" s="48" t="str">
        <f>IF(ISNUMBER(C277),C277,"")</f>
        <v/>
      </c>
      <c r="Z274" s="50" t="str">
        <f>IF(ISNUMBER(X274/(U274*V274)*Y274),X274/(U274*V274)*Y274,"")</f>
        <v/>
      </c>
      <c r="AA274" s="51">
        <f>IF(ISNUMBER(L274),L274,K274)</f>
        <v>5.7709999999999997E-2</v>
      </c>
      <c r="AB274" s="50" t="str">
        <f>IF(ISNUMBER(Y274*X274*K274),Y274*X274*K274,"")</f>
        <v/>
      </c>
      <c r="AC274" s="50" t="str">
        <f>IF(ISNUMBER(Y274),Y274,"")</f>
        <v/>
      </c>
      <c r="AD274" s="50" t="str">
        <f>IF(ISNUMBER(X274),IF(ISNUMBER(X274/(U274*V274)),CEILING(X274/(U274*V274),1),""),"")</f>
        <v/>
      </c>
      <c r="AE274" s="50" t="str">
        <f>IF(ISNUMBER(AD274*AC274),AD274*AC274,"")</f>
        <v/>
      </c>
      <c r="AF274" s="51">
        <f ca="1">IF(ISNUMBER(L275),L275,K275)</f>
        <v>0.71940999999999999</v>
      </c>
      <c r="AG274" s="50" t="str">
        <f ca="1">IF(ISNUMBER(AC274*AD274*K275),AC274*AD274*K275,"")</f>
        <v/>
      </c>
      <c r="AH274" s="48">
        <f>IF(T274="Jakelukuorma-auto",0,IF(T274="Maansiirtoauto",4,IF(T274="Puoliperävaunu",6,8)))</f>
        <v>4</v>
      </c>
      <c r="AI274" s="48">
        <f>IF(AND(T274="Jakelukuorma-auto",U274=6),0,IF(AND(T274="Jakelukuorma-auto",U274=15),2,0))</f>
        <v>0</v>
      </c>
      <c r="AJ274" s="48">
        <f>IF(W274="maantieajo",0,1)</f>
        <v>0</v>
      </c>
      <c r="AK274" s="108"/>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7" s="31" customFormat="1" ht="31" x14ac:dyDescent="0.3">
      <c r="B275" s="170" t="s">
        <v>550</v>
      </c>
      <c r="C275" s="392" t="s">
        <v>330</v>
      </c>
      <c r="D275" s="393"/>
      <c r="E275" s="393"/>
      <c r="F275" s="393"/>
      <c r="G275" s="394"/>
      <c r="J275" s="33" t="s">
        <v>442</v>
      </c>
      <c r="K275" s="96">
        <f ca="1">IF(ISNUMBER(L275),L275,IF($C$101="Ei","",IF(AND($C$101="Kyllä",OR(C275=Pudotusvalikot!$D$14,C275=Pudotusvalikot!$D$15)),Kalusto!$G$97,OFFSET(Kalusto!$G$85,AH274+AJ274+AI274,0,1,1)))*IF(OR(C276=Pudotusvalikot!$V$3,C276=Pudotusvalikot!$V$4),Muut!$E$38,IF(C276=Pudotusvalikot!$V$5,Muut!$E$39,IF(C276=Pudotusvalikot!$V$6,Muut!$E$40,Muut!$E$41))))</f>
        <v>0.71940999999999999</v>
      </c>
      <c r="L275" s="40"/>
      <c r="M275" s="41" t="s">
        <v>204</v>
      </c>
      <c r="N275" s="41"/>
      <c r="O275" s="265"/>
      <c r="P275" s="34"/>
      <c r="Q275" s="52"/>
      <c r="R275" s="36"/>
      <c r="S275" s="36"/>
      <c r="T275" s="36"/>
      <c r="U275" s="36"/>
      <c r="V275" s="36"/>
      <c r="W275" s="36"/>
      <c r="X275" s="36"/>
      <c r="Y275" s="36"/>
      <c r="Z275" s="36"/>
      <c r="AA275" s="36"/>
      <c r="AB275" s="36"/>
      <c r="AC275" s="36"/>
      <c r="AD275" s="36"/>
      <c r="AE275" s="36"/>
      <c r="AF275" s="36"/>
      <c r="AG275" s="36"/>
      <c r="AH275" s="36"/>
      <c r="AI275" s="36"/>
      <c r="AJ275" s="36"/>
      <c r="AK275" s="108"/>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5" x14ac:dyDescent="0.3">
      <c r="B276" s="186" t="s">
        <v>506</v>
      </c>
      <c r="C276" s="160" t="s">
        <v>242</v>
      </c>
      <c r="D276" s="34"/>
      <c r="E276" s="34"/>
      <c r="F276" s="34"/>
      <c r="G276" s="34"/>
      <c r="H276" s="59"/>
      <c r="J276" s="173"/>
      <c r="K276" s="173"/>
      <c r="L276" s="173"/>
      <c r="M276" s="41"/>
      <c r="N276" s="41"/>
      <c r="O276" s="265"/>
      <c r="Q276" s="47"/>
      <c r="R276" s="102"/>
      <c r="S276" s="102"/>
      <c r="T276" s="36"/>
      <c r="U276" s="36"/>
      <c r="V276" s="181"/>
      <c r="W276" s="181"/>
      <c r="X276" s="61"/>
      <c r="Y276" s="36"/>
      <c r="Z276" s="61"/>
      <c r="AA276" s="182"/>
      <c r="AB276" s="61"/>
      <c r="AC276" s="61"/>
      <c r="AD276" s="61"/>
      <c r="AE276" s="61"/>
      <c r="AF276" s="182"/>
      <c r="AG276" s="61"/>
      <c r="AH276" s="36"/>
      <c r="AI276" s="36"/>
      <c r="AJ276" s="36"/>
      <c r="AK276" s="108"/>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15.5" x14ac:dyDescent="0.3">
      <c r="B277" s="45" t="s">
        <v>549</v>
      </c>
      <c r="C277" s="160"/>
      <c r="D277" s="84" t="s">
        <v>5</v>
      </c>
      <c r="G277" s="34"/>
      <c r="H277" s="84"/>
      <c r="I277" s="53"/>
      <c r="J277" s="53"/>
      <c r="K277" s="34"/>
      <c r="L277" s="34"/>
      <c r="M277" s="84"/>
      <c r="N277" s="84"/>
      <c r="O277" s="100"/>
      <c r="P277" s="53"/>
      <c r="Q277" s="52"/>
      <c r="R277" s="36"/>
      <c r="S277" s="36"/>
      <c r="T277" s="36"/>
      <c r="U277" s="36"/>
      <c r="V277" s="36"/>
      <c r="W277" s="36"/>
      <c r="X277" s="36"/>
      <c r="Y277" s="36"/>
      <c r="Z277" s="36"/>
      <c r="AA277" s="36"/>
      <c r="AB277" s="36"/>
      <c r="AC277" s="36"/>
      <c r="AD277" s="36"/>
      <c r="AE277" s="36"/>
      <c r="AF277" s="36"/>
      <c r="AG277" s="36"/>
      <c r="AH277" s="36"/>
      <c r="AI277" s="36"/>
      <c r="AJ277" s="36"/>
      <c r="AK277" s="108"/>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15.5" x14ac:dyDescent="0.3">
      <c r="B278" s="155" t="s">
        <v>3</v>
      </c>
      <c r="C278" s="34"/>
      <c r="D278" s="84"/>
      <c r="E278" s="34"/>
      <c r="F278" s="34"/>
      <c r="G278" s="38"/>
      <c r="H278" s="84"/>
      <c r="J278" s="33"/>
      <c r="K278" s="38" t="s">
        <v>329</v>
      </c>
      <c r="L278" s="38" t="s">
        <v>201</v>
      </c>
      <c r="M278" s="84"/>
      <c r="N278" s="84"/>
      <c r="O278" s="100"/>
      <c r="P278" s="34"/>
      <c r="Q278" s="35"/>
      <c r="R278" s="44" t="s">
        <v>350</v>
      </c>
      <c r="S278" s="36"/>
      <c r="T278" s="36" t="s">
        <v>446</v>
      </c>
      <c r="U278" s="36" t="s">
        <v>445</v>
      </c>
      <c r="V278" s="44" t="s">
        <v>443</v>
      </c>
      <c r="W278" s="36" t="s">
        <v>444</v>
      </c>
      <c r="X278" s="44" t="s">
        <v>447</v>
      </c>
      <c r="Y278" s="44" t="s">
        <v>449</v>
      </c>
      <c r="Z278" s="44" t="s">
        <v>448</v>
      </c>
      <c r="AA278" s="44" t="s">
        <v>202</v>
      </c>
      <c r="AB278" s="44" t="s">
        <v>380</v>
      </c>
      <c r="AC278" s="44" t="s">
        <v>450</v>
      </c>
      <c r="AD278" s="44" t="s">
        <v>381</v>
      </c>
      <c r="AE278" s="44" t="s">
        <v>451</v>
      </c>
      <c r="AF278" s="44" t="s">
        <v>452</v>
      </c>
      <c r="AG278" s="44" t="s">
        <v>638</v>
      </c>
      <c r="AH278" s="36" t="s">
        <v>206</v>
      </c>
      <c r="AI278" s="36" t="s">
        <v>278</v>
      </c>
      <c r="AJ278" s="36" t="s">
        <v>207</v>
      </c>
      <c r="AK278" s="108"/>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46.5" x14ac:dyDescent="0.3">
      <c r="B279" s="170" t="s">
        <v>553</v>
      </c>
      <c r="C279" s="160"/>
      <c r="D279" s="89" t="s">
        <v>52</v>
      </c>
      <c r="E279" s="59"/>
      <c r="F279" s="57"/>
      <c r="G279" s="161"/>
      <c r="H279" s="84" t="str">
        <f>IF(D279="t","","t/m3")</f>
        <v/>
      </c>
      <c r="J279" s="173" t="s">
        <v>441</v>
      </c>
      <c r="K279" s="96">
        <f>IF(ISNUMBER(L279),L279,IF(OR(C280=Pudotusvalikot!$D$14,C280=Pudotusvalikot!$D$15),Kalusto!$G$96,VLOOKUP(C280,Kalusto!$C$44:$G$83,5,FALSE))*IF(OR(C281=Pudotusvalikot!$V$3,C281=Pudotusvalikot!$V$4),Muut!$E$38,IF(C281=Pudotusvalikot!$V$5,Muut!$E$39,IF(C281=Pudotusvalikot!$V$6,Muut!$E$40,Muut!$E$41))))</f>
        <v>5.7709999999999997E-2</v>
      </c>
      <c r="L279" s="40"/>
      <c r="M279" s="41" t="s">
        <v>200</v>
      </c>
      <c r="N279" s="41"/>
      <c r="O279" s="265"/>
      <c r="Q279" s="47"/>
      <c r="R279" s="50" t="str">
        <f ca="1">IF(AND(NOT(ISNUMBER(AB279)),NOT(ISNUMBER(AG279))),"",IF(ISNUMBER(AB279),AB279,0)+IF(ISNUMBER(AG279),AG279,0))</f>
        <v/>
      </c>
      <c r="S279" s="102" t="s">
        <v>172</v>
      </c>
      <c r="T279" s="48" t="str">
        <f>IF(ISNUMBER(L279),"Kohdetieto",IF(OR(C280=Pudotusvalikot!$D$14,C280=Pudotusvalikot!$D$15),Kalusto!$I$96,VLOOKUP(C280,Kalusto!$C$44:$L$83,7,FALSE)))</f>
        <v>Maansiirtoauto</v>
      </c>
      <c r="U279" s="48">
        <f>IF(ISNUMBER(L279),"Kohdetieto",IF(OR(C280=Pudotusvalikot!$D$14,C280=Pudotusvalikot!$D$15),Kalusto!$J$96,VLOOKUP(C280,Kalusto!$C$44:$L$83,8,FALSE)))</f>
        <v>32</v>
      </c>
      <c r="V279" s="49">
        <f>IF(ISNUMBER(L279),"Kohdetieto",IF(OR(C280=Pudotusvalikot!$D$14,C280=Pudotusvalikot!$D$15),Kalusto!$K$96,VLOOKUP(C280,Kalusto!$C$44:$L$83,9,FALSE)))</f>
        <v>0.8</v>
      </c>
      <c r="W279" s="49" t="str">
        <f>IF(ISNUMBER(L279),"Kohdetieto",IF(OR(C280=Pudotusvalikot!$D$14,C280=Pudotusvalikot!$D$15),Kalusto!$L$96,VLOOKUP(C280,Kalusto!$C$44:$L$83,10,FALSE)))</f>
        <v>maantieajo</v>
      </c>
      <c r="X279" s="50" t="str">
        <f>IF(ISBLANK(C279),"",IF(D279="t",C279,C279*G279))</f>
        <v/>
      </c>
      <c r="Y279" s="48" t="str">
        <f>IF(ISNUMBER(C282),C282,"")</f>
        <v/>
      </c>
      <c r="Z279" s="50" t="str">
        <f>IF(ISNUMBER(X279/(U279*V279)*Y279),X279/(U279*V279)*Y279,"")</f>
        <v/>
      </c>
      <c r="AA279" s="51">
        <f>IF(ISNUMBER(L279),L279,K279)</f>
        <v>5.7709999999999997E-2</v>
      </c>
      <c r="AB279" s="50" t="str">
        <f>IF(ISNUMBER(Y279*X279*K279),Y279*X279*K279,"")</f>
        <v/>
      </c>
      <c r="AC279" s="50" t="str">
        <f>IF(ISNUMBER(Y279),Y279,"")</f>
        <v/>
      </c>
      <c r="AD279" s="50" t="str">
        <f>IF(ISNUMBER(X279),IF(ISNUMBER(X279/(U279*V279)),CEILING(X279/(U279*V279),1),""),"")</f>
        <v/>
      </c>
      <c r="AE279" s="50" t="str">
        <f>IF(ISNUMBER(AD279*AC279),AD279*AC279,"")</f>
        <v/>
      </c>
      <c r="AF279" s="51">
        <f ca="1">IF(ISNUMBER(L280),L280,K280)</f>
        <v>0.71940999999999999</v>
      </c>
      <c r="AG279" s="50" t="str">
        <f ca="1">IF(ISNUMBER(AC279*AD279*K280),AC279*AD279*K280,"")</f>
        <v/>
      </c>
      <c r="AH279" s="48">
        <f>IF(T279="Jakelukuorma-auto",0,IF(T279="Maansiirtoauto",4,IF(T279="Puoliperävaunu",6,8)))</f>
        <v>4</v>
      </c>
      <c r="AI279" s="48">
        <f>IF(AND(T279="Jakelukuorma-auto",U279=6),0,IF(AND(T279="Jakelukuorma-auto",U279=15),2,0))</f>
        <v>0</v>
      </c>
      <c r="AJ279" s="48">
        <f>IF(W279="maantieajo",0,1)</f>
        <v>0</v>
      </c>
      <c r="AK279" s="108"/>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31" customFormat="1" ht="31" x14ac:dyDescent="0.3">
      <c r="B280" s="170" t="s">
        <v>550</v>
      </c>
      <c r="C280" s="392" t="s">
        <v>330</v>
      </c>
      <c r="D280" s="393"/>
      <c r="E280" s="393"/>
      <c r="F280" s="393"/>
      <c r="G280" s="394"/>
      <c r="J280" s="33" t="s">
        <v>442</v>
      </c>
      <c r="K280" s="96">
        <f ca="1">IF(ISNUMBER(L280),L280,IF($C$101="Ei","",IF(AND($C$101="Kyllä",OR(C280=Pudotusvalikot!$D$14,C280=Pudotusvalikot!$D$15)),Kalusto!$G$97,OFFSET(Kalusto!$G$85,AH279+AJ279+AI279,0,1,1)))*IF(OR(C281=Pudotusvalikot!$V$3,C281=Pudotusvalikot!$V$4),Muut!$E$38,IF(C281=Pudotusvalikot!$V$5,Muut!$E$39,IF(C281=Pudotusvalikot!$V$6,Muut!$E$40,Muut!$E$41))))</f>
        <v>0.71940999999999999</v>
      </c>
      <c r="L280" s="40"/>
      <c r="M280" s="41" t="s">
        <v>204</v>
      </c>
      <c r="N280" s="41"/>
      <c r="O280" s="265"/>
      <c r="P280" s="34"/>
      <c r="Q280" s="52"/>
      <c r="R280" s="36"/>
      <c r="S280" s="36"/>
      <c r="T280" s="36"/>
      <c r="U280" s="36"/>
      <c r="V280" s="36"/>
      <c r="W280" s="36"/>
      <c r="X280" s="36"/>
      <c r="Y280" s="36"/>
      <c r="Z280" s="36"/>
      <c r="AA280" s="36"/>
      <c r="AB280" s="36"/>
      <c r="AC280" s="36"/>
      <c r="AD280" s="36"/>
      <c r="AE280" s="36"/>
      <c r="AF280" s="36"/>
      <c r="AG280" s="36"/>
      <c r="AH280" s="36"/>
      <c r="AI280" s="36"/>
      <c r="AJ280" s="36"/>
      <c r="AK280" s="108"/>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7" s="31" customFormat="1" ht="15.5" x14ac:dyDescent="0.3">
      <c r="B281" s="186" t="s">
        <v>506</v>
      </c>
      <c r="C281" s="160" t="s">
        <v>242</v>
      </c>
      <c r="D281" s="34"/>
      <c r="E281" s="34"/>
      <c r="F281" s="34"/>
      <c r="G281" s="34"/>
      <c r="H281" s="59"/>
      <c r="J281" s="173"/>
      <c r="K281" s="173"/>
      <c r="L281" s="173"/>
      <c r="M281" s="41"/>
      <c r="N281" s="41"/>
      <c r="O281" s="265"/>
      <c r="Q281" s="47"/>
      <c r="R281" s="102"/>
      <c r="S281" s="102"/>
      <c r="T281" s="36"/>
      <c r="U281" s="36"/>
      <c r="V281" s="181"/>
      <c r="W281" s="181"/>
      <c r="X281" s="61"/>
      <c r="Y281" s="36"/>
      <c r="Z281" s="61"/>
      <c r="AA281" s="182"/>
      <c r="AB281" s="61"/>
      <c r="AC281" s="61"/>
      <c r="AD281" s="61"/>
      <c r="AE281" s="61"/>
      <c r="AF281" s="182"/>
      <c r="AG281" s="61"/>
      <c r="AH281" s="36"/>
      <c r="AI281" s="36"/>
      <c r="AJ281" s="36"/>
      <c r="AK281" s="108"/>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5" x14ac:dyDescent="0.3">
      <c r="B282" s="45" t="s">
        <v>549</v>
      </c>
      <c r="C282" s="160"/>
      <c r="D282" s="84" t="s">
        <v>176</v>
      </c>
      <c r="G282" s="34"/>
      <c r="H282" s="84"/>
      <c r="I282" s="53"/>
      <c r="J282" s="53"/>
      <c r="K282" s="34"/>
      <c r="L282" s="34"/>
      <c r="M282" s="84"/>
      <c r="N282" s="84"/>
      <c r="O282" s="100"/>
      <c r="P282" s="53"/>
      <c r="Q282" s="52"/>
      <c r="R282" s="36"/>
      <c r="S282" s="36"/>
      <c r="T282" s="36"/>
      <c r="U282" s="36"/>
      <c r="V282" s="36"/>
      <c r="W282" s="36"/>
      <c r="X282" s="36"/>
      <c r="Y282" s="36"/>
      <c r="Z282" s="36"/>
      <c r="AA282" s="36"/>
      <c r="AB282" s="36"/>
      <c r="AC282" s="36"/>
      <c r="AD282" s="36"/>
      <c r="AE282" s="36"/>
      <c r="AF282" s="36"/>
      <c r="AG282" s="36"/>
      <c r="AH282" s="36"/>
      <c r="AI282" s="36"/>
      <c r="AJ282" s="36"/>
      <c r="AK282" s="108"/>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15.5" x14ac:dyDescent="0.3">
      <c r="B283" s="155" t="s">
        <v>4</v>
      </c>
      <c r="C283" s="34"/>
      <c r="D283" s="84"/>
      <c r="G283" s="34"/>
      <c r="H283" s="84"/>
      <c r="J283" s="33"/>
      <c r="K283" s="38" t="s">
        <v>329</v>
      </c>
      <c r="L283" s="38" t="s">
        <v>201</v>
      </c>
      <c r="M283" s="84"/>
      <c r="N283" s="84"/>
      <c r="O283" s="100"/>
      <c r="P283" s="34"/>
      <c r="Q283" s="35"/>
      <c r="R283" s="44" t="s">
        <v>350</v>
      </c>
      <c r="S283" s="36"/>
      <c r="T283" s="36" t="s">
        <v>446</v>
      </c>
      <c r="U283" s="36" t="s">
        <v>445</v>
      </c>
      <c r="V283" s="44" t="s">
        <v>443</v>
      </c>
      <c r="W283" s="36" t="s">
        <v>444</v>
      </c>
      <c r="X283" s="44" t="s">
        <v>447</v>
      </c>
      <c r="Y283" s="44" t="s">
        <v>449</v>
      </c>
      <c r="Z283" s="44" t="s">
        <v>448</v>
      </c>
      <c r="AA283" s="44" t="s">
        <v>202</v>
      </c>
      <c r="AB283" s="44" t="s">
        <v>380</v>
      </c>
      <c r="AC283" s="44" t="s">
        <v>450</v>
      </c>
      <c r="AD283" s="44" t="s">
        <v>381</v>
      </c>
      <c r="AE283" s="44" t="s">
        <v>451</v>
      </c>
      <c r="AF283" s="44" t="s">
        <v>452</v>
      </c>
      <c r="AG283" s="44" t="s">
        <v>638</v>
      </c>
      <c r="AH283" s="36" t="s">
        <v>206</v>
      </c>
      <c r="AI283" s="36" t="s">
        <v>278</v>
      </c>
      <c r="AJ283" s="36" t="s">
        <v>207</v>
      </c>
      <c r="AK283" s="108"/>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46.5" x14ac:dyDescent="0.3">
      <c r="B284" s="170" t="s">
        <v>553</v>
      </c>
      <c r="C284" s="161"/>
      <c r="D284" s="89" t="s">
        <v>52</v>
      </c>
      <c r="E284" s="59"/>
      <c r="F284" s="57"/>
      <c r="G284" s="161"/>
      <c r="H284" s="84" t="str">
        <f>IF(D284="t","","t/m3")</f>
        <v/>
      </c>
      <c r="J284" s="173" t="s">
        <v>441</v>
      </c>
      <c r="K284" s="96">
        <f>IF(ISNUMBER(L284),L284,IF(OR(C285=Pudotusvalikot!$D$14,C285=Pudotusvalikot!$D$15),Kalusto!$G$96,VLOOKUP(C285,Kalusto!$C$44:$G$83,5,FALSE))*IF(OR(C286=Pudotusvalikot!$V$3,C286=Pudotusvalikot!$V$4),Muut!$E$38,IF(C286=Pudotusvalikot!$V$5,Muut!$E$39,IF(C286=Pudotusvalikot!$V$6,Muut!$E$40,Muut!$E$41))))</f>
        <v>5.7709999999999997E-2</v>
      </c>
      <c r="L284" s="40"/>
      <c r="M284" s="41" t="s">
        <v>200</v>
      </c>
      <c r="N284" s="41"/>
      <c r="O284" s="265"/>
      <c r="Q284" s="47"/>
      <c r="R284" s="50" t="str">
        <f ca="1">IF(AND(NOT(ISNUMBER(AB284)),NOT(ISNUMBER(AG284))),"",IF(ISNUMBER(AB284),AB284,0)+IF(ISNUMBER(AG284),AG284,0))</f>
        <v/>
      </c>
      <c r="S284" s="102" t="s">
        <v>172</v>
      </c>
      <c r="T284" s="48" t="str">
        <f>IF(ISNUMBER(L284),"Kohdetieto",IF(OR(C285=Pudotusvalikot!$D$14,C285=Pudotusvalikot!$D$15),Kalusto!$I$96,VLOOKUP(C285,Kalusto!$C$44:$L$83,7,FALSE)))</f>
        <v>Maansiirtoauto</v>
      </c>
      <c r="U284" s="48">
        <f>IF(ISNUMBER(L284),"Kohdetieto",IF(OR(C285=Pudotusvalikot!$D$14,C285=Pudotusvalikot!$D$15),Kalusto!$J$96,VLOOKUP(C285,Kalusto!$C$44:$L$83,8,FALSE)))</f>
        <v>32</v>
      </c>
      <c r="V284" s="49">
        <f>IF(ISNUMBER(L284),"Kohdetieto",IF(OR(C285=Pudotusvalikot!$D$14,C285=Pudotusvalikot!$D$15),Kalusto!$K$96,VLOOKUP(C285,Kalusto!$C$44:$L$83,9,FALSE)))</f>
        <v>0.8</v>
      </c>
      <c r="W284" s="49" t="str">
        <f>IF(ISNUMBER(L284),"Kohdetieto",IF(OR(C285=Pudotusvalikot!$D$14,C285=Pudotusvalikot!$D$15),Kalusto!$L$96,VLOOKUP(C285,Kalusto!$C$44:$L$83,10,FALSE)))</f>
        <v>maantieajo</v>
      </c>
      <c r="X284" s="50" t="str">
        <f>IF(ISBLANK(C284),"",IF(D284="t",C284,C284*G284))</f>
        <v/>
      </c>
      <c r="Y284" s="48" t="str">
        <f>IF(ISNUMBER(C287),C287,"")</f>
        <v/>
      </c>
      <c r="Z284" s="50" t="str">
        <f>IF(ISNUMBER(X284/(U284*V284)*Y284),X284/(U284*V284)*Y284,"")</f>
        <v/>
      </c>
      <c r="AA284" s="51">
        <f>IF(ISNUMBER(L284),L284,K284)</f>
        <v>5.7709999999999997E-2</v>
      </c>
      <c r="AB284" s="50" t="str">
        <f>IF(ISNUMBER(Y284*X284*K284),Y284*X284*K284,"")</f>
        <v/>
      </c>
      <c r="AC284" s="50" t="str">
        <f>IF(ISNUMBER(Y284),Y284,"")</f>
        <v/>
      </c>
      <c r="AD284" s="50" t="str">
        <f>IF(ISNUMBER(X284),IF(ISNUMBER(X284/(U284*V284)),CEILING(X284/(U284*V284),1),""),"")</f>
        <v/>
      </c>
      <c r="AE284" s="50" t="str">
        <f>IF(ISNUMBER(AD284*AC284),AD284*AC284,"")</f>
        <v/>
      </c>
      <c r="AF284" s="51">
        <f ca="1">IF(ISNUMBER(L285),L285,K285)</f>
        <v>0.71940999999999999</v>
      </c>
      <c r="AG284" s="50" t="str">
        <f ca="1">IF(ISNUMBER(AC284*AD284*K285),AC284*AD284*K285,"")</f>
        <v/>
      </c>
      <c r="AH284" s="48">
        <f>IF(T284="Jakelukuorma-auto",0,IF(T284="Maansiirtoauto",4,IF(T284="Puoliperävaunu",6,8)))</f>
        <v>4</v>
      </c>
      <c r="AI284" s="48">
        <f>IF(AND(T284="Jakelukuorma-auto",U284=6),0,IF(AND(T284="Jakelukuorma-auto",U284=15),2,0))</f>
        <v>0</v>
      </c>
      <c r="AJ284" s="48">
        <f>IF(W284="maantieajo",0,1)</f>
        <v>0</v>
      </c>
      <c r="AK284" s="108"/>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31" x14ac:dyDescent="0.3">
      <c r="B285" s="170" t="s">
        <v>550</v>
      </c>
      <c r="C285" s="392" t="s">
        <v>330</v>
      </c>
      <c r="D285" s="393"/>
      <c r="E285" s="393"/>
      <c r="F285" s="393"/>
      <c r="G285" s="394"/>
      <c r="I285" s="59"/>
      <c r="J285" s="33" t="s">
        <v>442</v>
      </c>
      <c r="K285" s="96">
        <f ca="1">IF(ISNUMBER(L285),L285,IF($C$101="Ei","",IF(AND($C$101="Kyllä",OR(C285=Pudotusvalikot!$D$14,C285=Pudotusvalikot!$D$15)),Kalusto!$G$97,OFFSET(Kalusto!$G$85,AH284+AJ284+AI284,0,1,1)))*IF(OR(C286=Pudotusvalikot!$V$3,C286=Pudotusvalikot!$V$4),Muut!$E$38,IF(C286=Pudotusvalikot!$V$5,Muut!$E$39,IF(C286=Pudotusvalikot!$V$6,Muut!$E$40,Muut!$E$41))))</f>
        <v>0.71940999999999999</v>
      </c>
      <c r="L285" s="40"/>
      <c r="M285" s="41" t="s">
        <v>204</v>
      </c>
      <c r="N285" s="41"/>
      <c r="O285" s="265"/>
      <c r="P285" s="34"/>
      <c r="Q285" s="52"/>
      <c r="R285" s="99"/>
      <c r="S285" s="36"/>
      <c r="T285" s="36"/>
      <c r="U285" s="36"/>
      <c r="V285" s="36"/>
      <c r="W285" s="36"/>
      <c r="X285" s="36"/>
      <c r="Y285" s="36"/>
      <c r="Z285" s="36"/>
      <c r="AA285" s="36"/>
      <c r="AB285" s="36"/>
      <c r="AC285" s="36"/>
      <c r="AD285" s="36"/>
      <c r="AE285" s="36"/>
      <c r="AF285" s="36"/>
      <c r="AG285" s="36"/>
      <c r="AH285" s="36"/>
      <c r="AI285" s="36"/>
      <c r="AJ285" s="36"/>
      <c r="AK285" s="36"/>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15.5" x14ac:dyDescent="0.3">
      <c r="B286" s="186" t="s">
        <v>506</v>
      </c>
      <c r="C286" s="160" t="s">
        <v>242</v>
      </c>
      <c r="D286" s="34"/>
      <c r="E286" s="34"/>
      <c r="F286" s="34"/>
      <c r="G286" s="34"/>
      <c r="H286" s="59"/>
      <c r="J286" s="173"/>
      <c r="K286" s="173"/>
      <c r="L286" s="173"/>
      <c r="M286" s="41"/>
      <c r="N286" s="41"/>
      <c r="O286" s="265"/>
      <c r="Q286" s="47"/>
      <c r="R286" s="102"/>
      <c r="S286" s="102"/>
      <c r="T286" s="36"/>
      <c r="U286" s="36"/>
      <c r="V286" s="181"/>
      <c r="W286" s="181"/>
      <c r="X286" s="61"/>
      <c r="Y286" s="36"/>
      <c r="Z286" s="61"/>
      <c r="AA286" s="182"/>
      <c r="AB286" s="61"/>
      <c r="AC286" s="61"/>
      <c r="AD286" s="61"/>
      <c r="AE286" s="61"/>
      <c r="AF286" s="182"/>
      <c r="AG286" s="61"/>
      <c r="AH286" s="36"/>
      <c r="AI286" s="36"/>
      <c r="AJ286" s="36"/>
      <c r="AK286" s="108"/>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5" x14ac:dyDescent="0.3">
      <c r="B287" s="45" t="s">
        <v>549</v>
      </c>
      <c r="C287" s="162"/>
      <c r="D287" s="84" t="s">
        <v>5</v>
      </c>
      <c r="G287" s="34"/>
      <c r="H287" s="84"/>
      <c r="I287" s="53"/>
      <c r="J287" s="53"/>
      <c r="K287" s="34"/>
      <c r="L287" s="34"/>
      <c r="M287" s="84"/>
      <c r="N287" s="84"/>
      <c r="O287" s="100"/>
      <c r="P287" s="53"/>
      <c r="Q287" s="52"/>
      <c r="R287" s="99"/>
      <c r="S287" s="36"/>
      <c r="T287" s="36"/>
      <c r="U287" s="36"/>
      <c r="V287" s="36"/>
      <c r="W287" s="36"/>
      <c r="X287" s="36"/>
      <c r="Y287" s="36"/>
      <c r="Z287" s="36"/>
      <c r="AA287" s="36"/>
      <c r="AB287" s="36"/>
      <c r="AC287" s="36"/>
      <c r="AD287" s="36"/>
      <c r="AE287" s="36"/>
      <c r="AF287" s="36"/>
      <c r="AG287" s="36"/>
      <c r="AH287" s="36"/>
      <c r="AI287" s="36"/>
      <c r="AJ287" s="36"/>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15.5" x14ac:dyDescent="0.3">
      <c r="B288" s="54"/>
      <c r="C288" s="34"/>
      <c r="D288" s="59"/>
      <c r="E288" s="58"/>
      <c r="F288" s="58"/>
      <c r="G288" s="34"/>
      <c r="H288" s="84"/>
      <c r="J288" s="33"/>
      <c r="K288" s="34"/>
      <c r="L288" s="34"/>
      <c r="M288" s="84"/>
      <c r="N288" s="84"/>
      <c r="O288" s="100"/>
      <c r="Q288" s="35"/>
      <c r="R288" s="99"/>
      <c r="S288" s="36"/>
      <c r="T288" s="36"/>
      <c r="U288" s="36"/>
      <c r="V288" s="36"/>
      <c r="W288" s="36"/>
      <c r="X288" s="36"/>
      <c r="Y288" s="36"/>
      <c r="Z288" s="36"/>
      <c r="AA288" s="36"/>
      <c r="AB288" s="36"/>
      <c r="AC288" s="36"/>
      <c r="AD288" s="36"/>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7" s="31" customFormat="1" ht="15.5" x14ac:dyDescent="0.3">
      <c r="B289" s="177" t="s">
        <v>554</v>
      </c>
      <c r="C289" s="34"/>
      <c r="D289" s="59"/>
      <c r="E289" s="58"/>
      <c r="F289" s="58"/>
      <c r="G289" s="34"/>
      <c r="H289" s="84"/>
      <c r="J289" s="33"/>
      <c r="K289" s="34"/>
      <c r="L289" s="34"/>
      <c r="M289" s="84"/>
      <c r="N289" s="84"/>
      <c r="O289" s="100"/>
      <c r="Q289" s="35"/>
      <c r="R289" s="99"/>
      <c r="S289" s="36"/>
      <c r="T289" s="36"/>
      <c r="U289" s="36"/>
      <c r="V289" s="36"/>
      <c r="W289" s="36"/>
      <c r="X289" s="36"/>
      <c r="Y289" s="36"/>
      <c r="Z289" s="36"/>
      <c r="AA289" s="36"/>
      <c r="AB289" s="36"/>
      <c r="AC289" s="36"/>
      <c r="AD289" s="36"/>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7" s="31" customFormat="1" ht="15.5" x14ac:dyDescent="0.3">
      <c r="B290" s="54"/>
      <c r="C290" s="34"/>
      <c r="D290" s="59"/>
      <c r="E290" s="58"/>
      <c r="F290" s="58"/>
      <c r="G290" s="34"/>
      <c r="H290" s="84"/>
      <c r="J290" s="33"/>
      <c r="K290" s="34"/>
      <c r="L290" s="34"/>
      <c r="M290" s="84"/>
      <c r="N290" s="84"/>
      <c r="O290" s="84"/>
      <c r="Q290" s="35"/>
      <c r="R290" s="99"/>
      <c r="S290" s="36"/>
      <c r="T290" s="36"/>
      <c r="U290" s="36"/>
      <c r="V290" s="36"/>
      <c r="W290" s="36"/>
      <c r="X290" s="36"/>
      <c r="Y290" s="36"/>
      <c r="Z290" s="36"/>
      <c r="AA290" s="36"/>
      <c r="AB290" s="36"/>
      <c r="AC290" s="36"/>
      <c r="AD290" s="36"/>
      <c r="AE290" s="36"/>
      <c r="AF290" s="36"/>
      <c r="AG290" s="36"/>
      <c r="AH290" s="36"/>
      <c r="AI290" s="36"/>
      <c r="AJ290" s="36"/>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7" s="298" customFormat="1" ht="18" x14ac:dyDescent="0.3">
      <c r="B291" s="295" t="s">
        <v>41</v>
      </c>
      <c r="C291" s="296"/>
      <c r="D291" s="297"/>
      <c r="G291" s="296"/>
      <c r="H291" s="297"/>
      <c r="K291" s="296"/>
      <c r="L291" s="296"/>
      <c r="M291" s="297"/>
      <c r="N291" s="297"/>
      <c r="O291" s="300"/>
      <c r="P291" s="320"/>
      <c r="Q291" s="304"/>
      <c r="S291" s="303"/>
      <c r="T291" s="303"/>
      <c r="U291" s="303"/>
      <c r="V291" s="303"/>
      <c r="W291" s="303"/>
      <c r="X291" s="303"/>
      <c r="Y291" s="303"/>
      <c r="Z291" s="303"/>
      <c r="AA291" s="303"/>
      <c r="AB291" s="303"/>
      <c r="AC291" s="303"/>
      <c r="AD291" s="303"/>
      <c r="AE291" s="303"/>
      <c r="AF291" s="303"/>
      <c r="AG291" s="303"/>
      <c r="AH291" s="303"/>
      <c r="AI291" s="303"/>
      <c r="AJ291" s="303"/>
      <c r="AK291" s="303"/>
      <c r="AL291" s="303"/>
      <c r="AM291" s="303"/>
      <c r="AN291" s="304"/>
      <c r="AO291" s="304"/>
      <c r="AP291" s="304"/>
      <c r="AQ291" s="304"/>
      <c r="AR291" s="304"/>
      <c r="AS291" s="304"/>
      <c r="AT291" s="304"/>
      <c r="AU291" s="304"/>
      <c r="AV291" s="304"/>
      <c r="AW291" s="304"/>
      <c r="AX291" s="304"/>
      <c r="AY291" s="304"/>
      <c r="AZ291" s="304"/>
      <c r="BA291" s="304"/>
      <c r="BB291" s="304"/>
      <c r="BC291" s="304"/>
      <c r="BD291" s="304"/>
      <c r="BE291" s="304"/>
    </row>
    <row r="292" spans="2:57" s="31" customFormat="1" ht="15.5" x14ac:dyDescent="0.3">
      <c r="B292" s="9"/>
      <c r="C292" s="34"/>
      <c r="D292" s="84"/>
      <c r="G292" s="34"/>
      <c r="H292" s="84"/>
      <c r="J292" s="33"/>
      <c r="K292" s="34"/>
      <c r="L292" s="34"/>
      <c r="M292" s="84"/>
      <c r="N292" s="84"/>
      <c r="O292" s="84"/>
      <c r="Q292" s="35"/>
      <c r="R292" s="99"/>
      <c r="S292" s="36"/>
      <c r="T292" s="36"/>
      <c r="U292" s="36"/>
      <c r="V292" s="36"/>
      <c r="W292" s="36"/>
      <c r="X292" s="36"/>
      <c r="Y292" s="36"/>
      <c r="Z292" s="36"/>
      <c r="AA292" s="36"/>
      <c r="AB292" s="36"/>
      <c r="AC292" s="36"/>
      <c r="AD292" s="36"/>
      <c r="AE292" s="36"/>
      <c r="AF292" s="36"/>
      <c r="AG292" s="36"/>
      <c r="AH292" s="36"/>
      <c r="AI292" s="36"/>
      <c r="AJ292" s="36"/>
      <c r="AK292" s="36"/>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7" s="31" customFormat="1" ht="15.5" x14ac:dyDescent="0.3">
      <c r="B293" s="9" t="s">
        <v>597</v>
      </c>
      <c r="C293" s="34"/>
      <c r="D293" s="84"/>
      <c r="G293" s="34"/>
      <c r="H293" s="84"/>
      <c r="J293" s="33"/>
      <c r="K293" s="38"/>
      <c r="L293" s="38"/>
      <c r="M293" s="84"/>
      <c r="N293" s="84"/>
      <c r="O293" s="84"/>
      <c r="Q293" s="35"/>
      <c r="R293" s="44"/>
      <c r="S293" s="36"/>
      <c r="T293" s="36"/>
      <c r="U293" s="36"/>
      <c r="V293" s="36"/>
      <c r="W293" s="44"/>
      <c r="X293" s="36"/>
      <c r="Y293" s="36"/>
      <c r="Z293" s="36"/>
      <c r="AA293" s="36"/>
      <c r="AB293" s="36"/>
      <c r="AC293" s="36"/>
      <c r="AD293" s="36"/>
      <c r="AE293" s="36"/>
      <c r="AF293" s="36"/>
      <c r="AG293" s="36"/>
      <c r="AH293" s="36"/>
      <c r="AI293" s="36"/>
      <c r="AJ293" s="36"/>
      <c r="AK293" s="36"/>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7" s="31" customFormat="1" ht="15.5" x14ac:dyDescent="0.3">
      <c r="B294" s="9"/>
      <c r="C294" s="34"/>
      <c r="D294" s="84"/>
      <c r="G294" s="34"/>
      <c r="H294" s="84"/>
      <c r="J294" s="33"/>
      <c r="K294" s="38" t="s">
        <v>329</v>
      </c>
      <c r="L294" s="38" t="s">
        <v>201</v>
      </c>
      <c r="M294" s="84"/>
      <c r="N294" s="84"/>
      <c r="O294" s="255" t="s">
        <v>644</v>
      </c>
      <c r="Q294" s="35"/>
      <c r="R294" s="44" t="s">
        <v>350</v>
      </c>
      <c r="S294" s="36"/>
      <c r="T294" s="36"/>
      <c r="U294" s="36"/>
      <c r="V294" s="36"/>
      <c r="W294" s="44"/>
      <c r="X294" s="36"/>
      <c r="Y294" s="36"/>
      <c r="Z294" s="36"/>
      <c r="AA294" s="36"/>
      <c r="AB294" s="36"/>
      <c r="AC294" s="36"/>
      <c r="AD294" s="36"/>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7" s="31" customFormat="1" ht="31" x14ac:dyDescent="0.3">
      <c r="B295" s="86" t="s">
        <v>551</v>
      </c>
      <c r="C295" s="160"/>
      <c r="D295" s="84" t="s">
        <v>175</v>
      </c>
      <c r="G295" s="34"/>
      <c r="H295" s="84"/>
      <c r="J295" s="33" t="s">
        <v>565</v>
      </c>
      <c r="K295" s="96">
        <f>IF(ISNUMBER(L295),L295,Muut!$H$28*IF(OR(C296=Pudotusvalikot!$V$3,C296=Pudotusvalikot!$V$4),Muut!$E$38,IF(C296=Pudotusvalikot!$V$5,Muut!$E$39,IF(C296=Pudotusvalikot!$V$6,Muut!$E$40,Muut!$E$41))))</f>
        <v>0.22753333333333334</v>
      </c>
      <c r="L295" s="63"/>
      <c r="M295" s="41" t="s">
        <v>226</v>
      </c>
      <c r="N295" s="41"/>
      <c r="O295" s="256"/>
      <c r="Q295" s="35"/>
      <c r="R295" s="109" t="str">
        <f>IF(AND(ISNUMBER(K295),ISNUMBER(C295)),K295*C295,"")</f>
        <v/>
      </c>
      <c r="S295" s="102" t="s">
        <v>172</v>
      </c>
      <c r="T295" s="61"/>
      <c r="U295" s="61"/>
      <c r="V295" s="61"/>
      <c r="W295" s="36"/>
      <c r="X295" s="36"/>
      <c r="Y295" s="36"/>
      <c r="Z295" s="36"/>
      <c r="AA295" s="36"/>
      <c r="AB295" s="36"/>
      <c r="AC295" s="36"/>
      <c r="AD295" s="36"/>
      <c r="AE295" s="36"/>
      <c r="AF295" s="36"/>
      <c r="AG295" s="36"/>
      <c r="AH295" s="36"/>
      <c r="AI295" s="36"/>
      <c r="AJ295" s="36"/>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7" s="31" customFormat="1" ht="15.5" x14ac:dyDescent="0.3">
      <c r="B296" s="170" t="s">
        <v>509</v>
      </c>
      <c r="C296" s="160" t="s">
        <v>242</v>
      </c>
      <c r="D296" s="34"/>
      <c r="E296" s="34"/>
      <c r="F296" s="34"/>
      <c r="G296" s="34"/>
      <c r="H296" s="34"/>
      <c r="I296" s="34"/>
      <c r="J296" s="173"/>
      <c r="K296" s="173"/>
      <c r="L296" s="173"/>
      <c r="M296" s="41"/>
      <c r="N296" s="41"/>
      <c r="O296" s="265"/>
      <c r="Q296" s="47"/>
      <c r="R296" s="61"/>
      <c r="S296" s="102"/>
      <c r="T296" s="36"/>
      <c r="U296" s="36"/>
      <c r="V296" s="181"/>
      <c r="W296" s="181"/>
      <c r="X296" s="61"/>
      <c r="Y296" s="36"/>
      <c r="Z296" s="61"/>
      <c r="AA296" s="182"/>
      <c r="AB296" s="61"/>
      <c r="AC296" s="61"/>
      <c r="AD296" s="61"/>
      <c r="AE296" s="61"/>
      <c r="AF296" s="182"/>
      <c r="AG296" s="61"/>
      <c r="AH296" s="36"/>
      <c r="AI296" s="36"/>
      <c r="AJ296" s="36"/>
      <c r="AK296" s="108"/>
      <c r="AL296" s="36"/>
      <c r="AM296" s="36"/>
      <c r="AN296" s="37"/>
      <c r="AO296" s="37"/>
      <c r="AP296" s="37"/>
      <c r="AQ296" s="37"/>
      <c r="AR296" s="37"/>
      <c r="AS296" s="37"/>
      <c r="AT296" s="37"/>
      <c r="AU296" s="37"/>
      <c r="AV296" s="37"/>
      <c r="AW296" s="37"/>
      <c r="AX296" s="37"/>
      <c r="AY296" s="37"/>
      <c r="AZ296" s="37"/>
      <c r="BA296" s="37"/>
      <c r="BB296" s="37"/>
      <c r="BC296" s="37"/>
      <c r="BD296" s="37"/>
      <c r="BE296" s="37"/>
    </row>
    <row r="297" spans="2:57" s="31" customFormat="1" ht="46.5" x14ac:dyDescent="0.3">
      <c r="B297" s="86" t="s">
        <v>527</v>
      </c>
      <c r="F297" s="34"/>
      <c r="G297" s="34"/>
      <c r="H297" s="34"/>
      <c r="I297" s="34"/>
      <c r="K297" s="38" t="s">
        <v>329</v>
      </c>
      <c r="L297" s="38" t="s">
        <v>201</v>
      </c>
      <c r="M297" s="84"/>
      <c r="N297" s="84"/>
      <c r="O297" s="100"/>
      <c r="Q297" s="35"/>
      <c r="R297" s="44" t="s">
        <v>350</v>
      </c>
      <c r="S297" s="108"/>
      <c r="T297" s="36"/>
      <c r="U297" s="36"/>
      <c r="V297" s="36"/>
      <c r="W297" s="36"/>
      <c r="X297" s="36"/>
      <c r="Y297" s="36"/>
      <c r="Z297" s="36"/>
      <c r="AA297" s="36"/>
      <c r="AB297" s="36"/>
      <c r="AC297" s="36"/>
      <c r="AD297" s="36"/>
      <c r="AE297" s="36"/>
      <c r="AF297" s="36"/>
      <c r="AG297" s="36"/>
      <c r="AH297" s="36"/>
      <c r="AI297" s="36"/>
      <c r="AJ297" s="36"/>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7" s="31" customFormat="1" ht="15.5" x14ac:dyDescent="0.3">
      <c r="B298" s="136" t="s">
        <v>555</v>
      </c>
      <c r="C298" s="66"/>
      <c r="D298" s="84" t="s">
        <v>52</v>
      </c>
      <c r="G298" s="34"/>
      <c r="H298" s="84"/>
      <c r="J298" s="33" t="s">
        <v>382</v>
      </c>
      <c r="K298" s="138">
        <f>IF(ISNUMBER(L298),L298,Muut!$H$30)</f>
        <v>33.857142857142854</v>
      </c>
      <c r="L298" s="63"/>
      <c r="M298" s="41" t="s">
        <v>277</v>
      </c>
      <c r="N298" s="41"/>
      <c r="O298" s="265"/>
      <c r="Q298" s="35"/>
      <c r="R298" s="109" t="str">
        <f>IF(AND(ISNUMBER(K298),ISNUMBER(C298)),K298*C298,"")</f>
        <v/>
      </c>
      <c r="S298" s="102" t="s">
        <v>172</v>
      </c>
      <c r="T298" s="36"/>
      <c r="U298" s="36"/>
      <c r="V298" s="36"/>
      <c r="W298" s="36"/>
      <c r="X298" s="36"/>
      <c r="Y298" s="36"/>
      <c r="Z298" s="36"/>
      <c r="AA298" s="36"/>
      <c r="AB298" s="36"/>
      <c r="AC298" s="36"/>
      <c r="AD298" s="36"/>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7" s="31" customFormat="1" ht="15.5" x14ac:dyDescent="0.3">
      <c r="B299" s="170" t="s">
        <v>570</v>
      </c>
      <c r="C299" s="160"/>
      <c r="D299" s="84" t="s">
        <v>8</v>
      </c>
      <c r="E299" s="34"/>
      <c r="F299" s="34"/>
      <c r="G299" s="34"/>
      <c r="H299" s="84"/>
      <c r="J299" s="33" t="s">
        <v>560</v>
      </c>
      <c r="K299" s="96" t="str">
        <f>IF(ISNUMBER(L299),L299,"")</f>
        <v/>
      </c>
      <c r="L299" s="185"/>
      <c r="M299" s="41" t="s">
        <v>277</v>
      </c>
      <c r="N299" s="41"/>
      <c r="O299" s="265"/>
      <c r="Q299" s="35"/>
      <c r="R299" s="109" t="str">
        <f>IF(AND(ISNUMBER(K299),ISNUMBER(C299)),-K299*C299,"")</f>
        <v/>
      </c>
      <c r="S299" s="102" t="s">
        <v>172</v>
      </c>
      <c r="T299" s="135" t="s">
        <v>383</v>
      </c>
      <c r="U299" s="36"/>
      <c r="V299" s="36"/>
      <c r="W299" s="36"/>
      <c r="X299" s="36"/>
      <c r="Y299" s="36"/>
      <c r="Z299" s="36"/>
      <c r="AA299" s="36"/>
      <c r="AB299" s="36"/>
      <c r="AC299" s="36"/>
      <c r="AD299" s="36"/>
      <c r="AE299" s="36"/>
      <c r="AF299" s="36"/>
      <c r="AG299" s="36"/>
      <c r="AH299" s="36"/>
      <c r="AI299" s="36"/>
      <c r="AJ299" s="36"/>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7" s="31" customFormat="1" ht="15.5" x14ac:dyDescent="0.3">
      <c r="B300" s="170" t="s">
        <v>571</v>
      </c>
      <c r="C300" s="160"/>
      <c r="D300" s="84" t="s">
        <v>8</v>
      </c>
      <c r="E300" s="34"/>
      <c r="F300" s="34"/>
      <c r="G300" s="34"/>
      <c r="H300" s="84"/>
      <c r="J300" s="33" t="s">
        <v>564</v>
      </c>
      <c r="K300" s="96" t="str">
        <f>IF(ISNUMBER(L300),L300,"")</f>
        <v/>
      </c>
      <c r="L300" s="185"/>
      <c r="M300" s="41" t="s">
        <v>277</v>
      </c>
      <c r="N300" s="41"/>
      <c r="O300" s="265"/>
      <c r="Q300" s="35"/>
      <c r="R300" s="109" t="str">
        <f>IF(AND(ISNUMBER(K300),ISNUMBER(C300)),-K300*C300,"")</f>
        <v/>
      </c>
      <c r="S300" s="102" t="s">
        <v>172</v>
      </c>
      <c r="T300" s="135" t="s">
        <v>383</v>
      </c>
      <c r="U300" s="36"/>
      <c r="V300" s="36"/>
      <c r="W300" s="36"/>
      <c r="X300" s="36"/>
      <c r="Y300" s="36"/>
      <c r="Z300" s="36"/>
      <c r="AA300" s="36"/>
      <c r="AB300" s="36"/>
      <c r="AC300" s="36"/>
      <c r="AD300" s="36"/>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7" s="31" customFormat="1" ht="15.5" x14ac:dyDescent="0.3">
      <c r="B301" s="136" t="s">
        <v>556</v>
      </c>
      <c r="C301" s="66"/>
      <c r="D301" s="84" t="s">
        <v>52</v>
      </c>
      <c r="G301" s="34"/>
      <c r="H301" s="84"/>
      <c r="J301" s="33" t="s">
        <v>382</v>
      </c>
      <c r="K301" s="138">
        <f>IF(ISNUMBER(L301),L301,Muut!$H$30)</f>
        <v>33.857142857142854</v>
      </c>
      <c r="L301" s="63"/>
      <c r="M301" s="41" t="s">
        <v>277</v>
      </c>
      <c r="N301" s="41"/>
      <c r="O301" s="265"/>
      <c r="Q301" s="35"/>
      <c r="R301" s="109" t="str">
        <f>IF(AND(ISNUMBER(K301),ISNUMBER(C301)),K301*C301,"")</f>
        <v/>
      </c>
      <c r="S301" s="102" t="s">
        <v>172</v>
      </c>
      <c r="T301" s="36"/>
      <c r="U301" s="36"/>
      <c r="V301" s="36"/>
      <c r="W301" s="36"/>
      <c r="X301" s="36"/>
      <c r="Y301" s="36"/>
      <c r="Z301" s="36"/>
      <c r="AA301" s="36"/>
      <c r="AB301" s="36"/>
      <c r="AC301" s="36"/>
      <c r="AD301" s="36"/>
      <c r="AE301" s="36"/>
      <c r="AF301" s="36"/>
      <c r="AG301" s="36"/>
      <c r="AH301" s="36"/>
      <c r="AI301" s="36"/>
      <c r="AJ301" s="36"/>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7" s="31" customFormat="1" ht="15.5" x14ac:dyDescent="0.3">
      <c r="B302" s="170" t="s">
        <v>572</v>
      </c>
      <c r="C302" s="160"/>
      <c r="D302" s="84" t="s">
        <v>8</v>
      </c>
      <c r="G302" s="34"/>
      <c r="H302" s="84"/>
      <c r="J302" s="33" t="s">
        <v>560</v>
      </c>
      <c r="K302" s="96" t="str">
        <f>IF(ISNUMBER(L302),L302,"")</f>
        <v/>
      </c>
      <c r="L302" s="185"/>
      <c r="M302" s="41" t="s">
        <v>277</v>
      </c>
      <c r="N302" s="41"/>
      <c r="O302" s="265"/>
      <c r="Q302" s="35"/>
      <c r="R302" s="109" t="str">
        <f>IF(AND(ISNUMBER(K302),ISNUMBER(C302)),-K302*C302,"")</f>
        <v/>
      </c>
      <c r="S302" s="102" t="s">
        <v>172</v>
      </c>
      <c r="T302" s="135" t="s">
        <v>383</v>
      </c>
      <c r="U302" s="36"/>
      <c r="V302" s="36"/>
      <c r="W302" s="36"/>
      <c r="X302" s="36"/>
      <c r="Y302" s="36"/>
      <c r="Z302" s="36"/>
      <c r="AA302" s="36"/>
      <c r="AB302" s="36"/>
      <c r="AC302" s="36"/>
      <c r="AD302" s="36"/>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7" s="31" customFormat="1" ht="15.5" x14ac:dyDescent="0.3">
      <c r="B303" s="170" t="s">
        <v>571</v>
      </c>
      <c r="C303" s="160"/>
      <c r="D303" s="84" t="s">
        <v>8</v>
      </c>
      <c r="E303" s="34"/>
      <c r="F303" s="34"/>
      <c r="G303" s="34"/>
      <c r="H303" s="84"/>
      <c r="J303" s="33" t="s">
        <v>564</v>
      </c>
      <c r="K303" s="96" t="str">
        <f>IF(ISNUMBER(L303),L303,"")</f>
        <v/>
      </c>
      <c r="L303" s="185"/>
      <c r="M303" s="41" t="s">
        <v>277</v>
      </c>
      <c r="N303" s="41"/>
      <c r="O303" s="265"/>
      <c r="Q303" s="35"/>
      <c r="R303" s="109" t="str">
        <f>IF(AND(ISNUMBER(K303),ISNUMBER(C303)),-K303*C303,"")</f>
        <v/>
      </c>
      <c r="S303" s="102" t="s">
        <v>172</v>
      </c>
      <c r="T303" s="135" t="s">
        <v>383</v>
      </c>
      <c r="U303" s="36"/>
      <c r="V303" s="36"/>
      <c r="W303" s="36"/>
      <c r="X303" s="36"/>
      <c r="Y303" s="36"/>
      <c r="Z303" s="36"/>
      <c r="AA303" s="36"/>
      <c r="AB303" s="36"/>
      <c r="AC303" s="36"/>
      <c r="AD303" s="36"/>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7" s="31" customFormat="1" ht="15.5" x14ac:dyDescent="0.3">
      <c r="B304" s="136" t="s">
        <v>557</v>
      </c>
      <c r="C304" s="66"/>
      <c r="D304" s="84" t="s">
        <v>52</v>
      </c>
      <c r="G304" s="34"/>
      <c r="H304" s="84"/>
      <c r="J304" s="33" t="s">
        <v>382</v>
      </c>
      <c r="K304" s="138">
        <f>IF(ISNUMBER(L304),L304,Muut!$H$30)</f>
        <v>33.857142857142854</v>
      </c>
      <c r="L304" s="63"/>
      <c r="M304" s="41" t="s">
        <v>277</v>
      </c>
      <c r="N304" s="41"/>
      <c r="O304" s="265"/>
      <c r="Q304" s="35"/>
      <c r="R304" s="109" t="str">
        <f>IF(AND(ISNUMBER(K304),ISNUMBER(C304)),K304*C304,"")</f>
        <v/>
      </c>
      <c r="S304" s="102" t="s">
        <v>172</v>
      </c>
      <c r="T304" s="36"/>
      <c r="U304" s="36"/>
      <c r="V304" s="36"/>
      <c r="W304" s="36"/>
      <c r="X304" s="36"/>
      <c r="Y304" s="36"/>
      <c r="Z304" s="36"/>
      <c r="AA304" s="36"/>
      <c r="AB304" s="36"/>
      <c r="AC304" s="36"/>
      <c r="AD304" s="36"/>
      <c r="AE304" s="36"/>
      <c r="AF304" s="36"/>
      <c r="AG304" s="36"/>
      <c r="AH304" s="36"/>
      <c r="AI304" s="36"/>
      <c r="AJ304" s="36"/>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9" s="31" customFormat="1" ht="15.5" x14ac:dyDescent="0.3">
      <c r="B305" s="170" t="s">
        <v>572</v>
      </c>
      <c r="C305" s="160"/>
      <c r="D305" s="84" t="s">
        <v>8</v>
      </c>
      <c r="E305" s="34"/>
      <c r="F305" s="34"/>
      <c r="G305" s="34"/>
      <c r="H305" s="84"/>
      <c r="J305" s="33" t="s">
        <v>560</v>
      </c>
      <c r="K305" s="96" t="str">
        <f>IF(ISNUMBER(L305),L305,"")</f>
        <v/>
      </c>
      <c r="L305" s="185"/>
      <c r="M305" s="41" t="s">
        <v>277</v>
      </c>
      <c r="N305" s="41"/>
      <c r="O305" s="265"/>
      <c r="Q305" s="35"/>
      <c r="R305" s="109" t="str">
        <f>IF(AND(ISNUMBER(K305),ISNUMBER(C305)),-K305*C305,"")</f>
        <v/>
      </c>
      <c r="S305" s="102" t="s">
        <v>172</v>
      </c>
      <c r="T305" s="135" t="s">
        <v>383</v>
      </c>
      <c r="U305" s="36"/>
      <c r="V305" s="36"/>
      <c r="W305" s="36"/>
      <c r="X305" s="36"/>
      <c r="Y305" s="36"/>
      <c r="Z305" s="36"/>
      <c r="AA305" s="36"/>
      <c r="AB305" s="36"/>
      <c r="AC305" s="36"/>
      <c r="AD305" s="36"/>
      <c r="AE305" s="36"/>
      <c r="AF305" s="36"/>
      <c r="AG305" s="36"/>
      <c r="AH305" s="36"/>
      <c r="AI305" s="36"/>
      <c r="AJ305" s="36"/>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9" s="31" customFormat="1" ht="15.5" x14ac:dyDescent="0.3">
      <c r="B306" s="170" t="s">
        <v>571</v>
      </c>
      <c r="C306" s="160"/>
      <c r="D306" s="84" t="s">
        <v>8</v>
      </c>
      <c r="E306" s="34"/>
      <c r="F306" s="34"/>
      <c r="G306" s="34"/>
      <c r="H306" s="84"/>
      <c r="J306" s="33" t="s">
        <v>564</v>
      </c>
      <c r="K306" s="96" t="str">
        <f>IF(ISNUMBER(L306),L306,"")</f>
        <v/>
      </c>
      <c r="L306" s="185"/>
      <c r="M306" s="41" t="s">
        <v>277</v>
      </c>
      <c r="N306" s="41"/>
      <c r="O306" s="265"/>
      <c r="Q306" s="35"/>
      <c r="R306" s="109" t="str">
        <f>IF(AND(ISNUMBER(K306),ISNUMBER(C306)),-K306*C306,"")</f>
        <v/>
      </c>
      <c r="S306" s="102" t="s">
        <v>172</v>
      </c>
      <c r="T306" s="135" t="s">
        <v>383</v>
      </c>
      <c r="U306" s="36"/>
      <c r="V306" s="36"/>
      <c r="W306" s="36"/>
      <c r="X306" s="36"/>
      <c r="Y306" s="36"/>
      <c r="Z306" s="36"/>
      <c r="AA306" s="36"/>
      <c r="AB306" s="36"/>
      <c r="AC306" s="36"/>
      <c r="AD306" s="36"/>
      <c r="AE306" s="36"/>
      <c r="AF306" s="36"/>
      <c r="AG306" s="36"/>
      <c r="AH306" s="36"/>
      <c r="AI306" s="36"/>
      <c r="AJ306" s="36"/>
      <c r="AK306" s="36"/>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9" s="31" customFormat="1" ht="15.5" x14ac:dyDescent="0.3">
      <c r="B307" s="136" t="s">
        <v>558</v>
      </c>
      <c r="C307" s="66"/>
      <c r="D307" s="84" t="s">
        <v>52</v>
      </c>
      <c r="G307" s="34"/>
      <c r="H307" s="84"/>
      <c r="J307" s="33" t="s">
        <v>382</v>
      </c>
      <c r="K307" s="138">
        <f>IF(ISNUMBER(L307),L307,Muut!$H$30)</f>
        <v>33.857142857142854</v>
      </c>
      <c r="L307" s="63"/>
      <c r="M307" s="41" t="s">
        <v>277</v>
      </c>
      <c r="N307" s="41"/>
      <c r="O307" s="265"/>
      <c r="Q307" s="35"/>
      <c r="R307" s="109" t="str">
        <f>IF(AND(ISNUMBER(K307),ISNUMBER(C307)),K307*C307,"")</f>
        <v/>
      </c>
      <c r="S307" s="102" t="s">
        <v>172</v>
      </c>
      <c r="T307" s="36"/>
      <c r="U307" s="36"/>
      <c r="V307" s="36"/>
      <c r="W307" s="36"/>
      <c r="X307" s="36"/>
      <c r="Y307" s="36"/>
      <c r="Z307" s="36"/>
      <c r="AA307" s="36"/>
      <c r="AB307" s="36"/>
      <c r="AC307" s="36"/>
      <c r="AD307" s="36"/>
      <c r="AE307" s="36"/>
      <c r="AF307" s="36"/>
      <c r="AG307" s="36"/>
      <c r="AH307" s="36"/>
      <c r="AI307" s="36"/>
      <c r="AJ307" s="36"/>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9" s="31" customFormat="1" ht="15.5" x14ac:dyDescent="0.3">
      <c r="B308" s="170" t="s">
        <v>572</v>
      </c>
      <c r="C308" s="160"/>
      <c r="D308" s="84" t="s">
        <v>8</v>
      </c>
      <c r="E308" s="34"/>
      <c r="F308" s="34"/>
      <c r="G308" s="34"/>
      <c r="H308" s="84"/>
      <c r="J308" s="33" t="s">
        <v>560</v>
      </c>
      <c r="K308" s="96" t="str">
        <f>IF(ISNUMBER(L308),L308,"")</f>
        <v/>
      </c>
      <c r="L308" s="185"/>
      <c r="M308" s="41" t="s">
        <v>277</v>
      </c>
      <c r="N308" s="41"/>
      <c r="O308" s="265"/>
      <c r="Q308" s="35"/>
      <c r="R308" s="109" t="str">
        <f>IF(AND(ISNUMBER(K308),ISNUMBER(C308)),-K308*C308,"")</f>
        <v/>
      </c>
      <c r="S308" s="102" t="s">
        <v>172</v>
      </c>
      <c r="T308" s="135" t="s">
        <v>383</v>
      </c>
      <c r="U308" s="36"/>
      <c r="V308" s="36"/>
      <c r="W308" s="36"/>
      <c r="X308" s="36"/>
      <c r="Y308" s="36"/>
      <c r="Z308" s="36"/>
      <c r="AA308" s="36"/>
      <c r="AB308" s="36"/>
      <c r="AC308" s="36"/>
      <c r="AD308" s="36"/>
      <c r="AE308" s="36"/>
      <c r="AF308" s="36"/>
      <c r="AG308" s="36"/>
      <c r="AH308" s="36"/>
      <c r="AI308" s="36"/>
      <c r="AJ308" s="36"/>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9" s="31" customFormat="1" ht="15.5" x14ac:dyDescent="0.3">
      <c r="B309" s="170" t="s">
        <v>571</v>
      </c>
      <c r="C309" s="160"/>
      <c r="D309" s="84" t="s">
        <v>8</v>
      </c>
      <c r="E309" s="34"/>
      <c r="F309" s="34"/>
      <c r="G309" s="34"/>
      <c r="H309" s="84"/>
      <c r="J309" s="33" t="s">
        <v>564</v>
      </c>
      <c r="K309" s="96" t="str">
        <f>IF(ISNUMBER(L309),L309,"")</f>
        <v/>
      </c>
      <c r="L309" s="185"/>
      <c r="M309" s="41" t="s">
        <v>277</v>
      </c>
      <c r="N309" s="41"/>
      <c r="O309" s="265"/>
      <c r="Q309" s="35"/>
      <c r="R309" s="109" t="str">
        <f>IF(AND(ISNUMBER(K309),ISNUMBER(C309)),-K309*C309,"")</f>
        <v/>
      </c>
      <c r="S309" s="102" t="s">
        <v>172</v>
      </c>
      <c r="T309" s="135" t="s">
        <v>383</v>
      </c>
      <c r="U309" s="36"/>
      <c r="V309" s="36"/>
      <c r="W309" s="36"/>
      <c r="X309" s="36"/>
      <c r="Y309" s="36"/>
      <c r="Z309" s="36"/>
      <c r="AA309" s="36"/>
      <c r="AB309" s="36"/>
      <c r="AC309" s="36"/>
      <c r="AD309" s="36"/>
      <c r="AE309" s="36"/>
      <c r="AF309" s="36"/>
      <c r="AG309" s="36"/>
      <c r="AH309" s="36"/>
      <c r="AI309" s="36"/>
      <c r="AJ309" s="36"/>
      <c r="AK309" s="36"/>
      <c r="AL309" s="36"/>
      <c r="AM309" s="36"/>
      <c r="AN309" s="37"/>
      <c r="AO309" s="37"/>
      <c r="AP309" s="37"/>
      <c r="AQ309" s="37"/>
      <c r="AR309" s="37"/>
      <c r="AS309" s="37"/>
      <c r="AT309" s="37"/>
      <c r="AU309" s="37"/>
      <c r="AV309" s="37"/>
      <c r="AW309" s="37"/>
      <c r="AX309" s="37"/>
      <c r="AY309" s="37"/>
      <c r="AZ309" s="37"/>
      <c r="BA309" s="37"/>
      <c r="BB309" s="37"/>
      <c r="BC309" s="37"/>
      <c r="BD309" s="37"/>
      <c r="BE309" s="37"/>
    </row>
    <row r="310" spans="2:59" s="31" customFormat="1" ht="15.5" x14ac:dyDescent="0.3">
      <c r="B310" s="136" t="s">
        <v>559</v>
      </c>
      <c r="C310" s="66"/>
      <c r="D310" s="84" t="s">
        <v>52</v>
      </c>
      <c r="G310" s="34"/>
      <c r="H310" s="84"/>
      <c r="J310" s="33" t="s">
        <v>382</v>
      </c>
      <c r="K310" s="138">
        <f>IF(ISNUMBER(L310),L310,Muut!$H$30)</f>
        <v>33.857142857142854</v>
      </c>
      <c r="L310" s="63"/>
      <c r="M310" s="41" t="s">
        <v>277</v>
      </c>
      <c r="N310" s="41"/>
      <c r="O310" s="265"/>
      <c r="Q310" s="35"/>
      <c r="R310" s="109" t="str">
        <f>IF(AND(ISNUMBER(K310),ISNUMBER(C310)),K310*C310,"")</f>
        <v/>
      </c>
      <c r="S310" s="102" t="s">
        <v>172</v>
      </c>
      <c r="T310" s="36"/>
      <c r="U310" s="36"/>
      <c r="V310" s="36"/>
      <c r="W310" s="36"/>
      <c r="X310" s="36"/>
      <c r="Y310" s="36"/>
      <c r="Z310" s="36"/>
      <c r="AA310" s="36"/>
      <c r="AB310" s="36"/>
      <c r="AC310" s="36"/>
      <c r="AD310" s="36"/>
      <c r="AE310" s="36"/>
      <c r="AF310" s="36"/>
      <c r="AG310" s="36"/>
      <c r="AH310" s="36"/>
      <c r="AI310" s="36"/>
      <c r="AJ310" s="36"/>
      <c r="AK310" s="36"/>
      <c r="AL310" s="36"/>
      <c r="AM310" s="36"/>
      <c r="AN310" s="37"/>
      <c r="AO310" s="37"/>
      <c r="AP310" s="37"/>
      <c r="AQ310" s="37"/>
      <c r="AR310" s="37"/>
      <c r="AS310" s="37"/>
      <c r="AT310" s="37"/>
      <c r="AU310" s="37"/>
      <c r="AV310" s="37"/>
      <c r="AW310" s="37"/>
      <c r="AX310" s="37"/>
      <c r="AY310" s="37"/>
      <c r="AZ310" s="37"/>
      <c r="BA310" s="37"/>
      <c r="BB310" s="37"/>
      <c r="BC310" s="37"/>
      <c r="BD310" s="37"/>
      <c r="BE310" s="37"/>
    </row>
    <row r="311" spans="2:59" s="31" customFormat="1" ht="15.5" x14ac:dyDescent="0.3">
      <c r="B311" s="170" t="s">
        <v>572</v>
      </c>
      <c r="C311" s="160"/>
      <c r="D311" s="84" t="s">
        <v>8</v>
      </c>
      <c r="E311" s="34"/>
      <c r="F311" s="34"/>
      <c r="G311" s="34"/>
      <c r="H311" s="84"/>
      <c r="J311" s="33" t="s">
        <v>560</v>
      </c>
      <c r="K311" s="96" t="str">
        <f>IF(ISNUMBER(L311),L311,"")</f>
        <v/>
      </c>
      <c r="L311" s="185"/>
      <c r="M311" s="41" t="s">
        <v>277</v>
      </c>
      <c r="N311" s="41"/>
      <c r="O311" s="265"/>
      <c r="Q311" s="35"/>
      <c r="R311" s="109" t="str">
        <f>IF(AND(ISNUMBER(K311),ISNUMBER(C311)),-K311*C311,"")</f>
        <v/>
      </c>
      <c r="S311" s="102" t="s">
        <v>172</v>
      </c>
      <c r="T311" s="135" t="s">
        <v>383</v>
      </c>
      <c r="U311" s="36"/>
      <c r="V311" s="36"/>
      <c r="W311" s="36"/>
      <c r="X311" s="36"/>
      <c r="Y311" s="36"/>
      <c r="Z311" s="36"/>
      <c r="AA311" s="36"/>
      <c r="AB311" s="36"/>
      <c r="AC311" s="36"/>
      <c r="AD311" s="36"/>
      <c r="AE311" s="36"/>
      <c r="AF311" s="36"/>
      <c r="AG311" s="36"/>
      <c r="AH311" s="36"/>
      <c r="AI311" s="36"/>
      <c r="AJ311" s="36"/>
      <c r="AK311" s="36"/>
      <c r="AL311" s="36"/>
      <c r="AM311" s="36"/>
      <c r="AN311" s="37"/>
      <c r="AO311" s="37"/>
      <c r="AP311" s="37"/>
      <c r="AQ311" s="37"/>
      <c r="AR311" s="37"/>
      <c r="AS311" s="37"/>
      <c r="AT311" s="37"/>
      <c r="AU311" s="37"/>
      <c r="AV311" s="37"/>
      <c r="AW311" s="37"/>
      <c r="AX311" s="37"/>
      <c r="AY311" s="37"/>
      <c r="AZ311" s="37"/>
      <c r="BA311" s="37"/>
      <c r="BB311" s="37"/>
      <c r="BC311" s="37"/>
      <c r="BD311" s="37"/>
      <c r="BE311" s="37"/>
    </row>
    <row r="312" spans="2:59" s="31" customFormat="1" ht="15.5" x14ac:dyDescent="0.3">
      <c r="B312" s="170" t="s">
        <v>571</v>
      </c>
      <c r="C312" s="160"/>
      <c r="D312" s="84" t="s">
        <v>8</v>
      </c>
      <c r="E312" s="34"/>
      <c r="F312" s="34"/>
      <c r="G312" s="34"/>
      <c r="H312" s="84"/>
      <c r="J312" s="33" t="s">
        <v>564</v>
      </c>
      <c r="K312" s="96" t="str">
        <f>IF(ISNUMBER(L312),L312,"")</f>
        <v/>
      </c>
      <c r="L312" s="185"/>
      <c r="M312" s="41" t="s">
        <v>277</v>
      </c>
      <c r="N312" s="41"/>
      <c r="O312" s="265"/>
      <c r="Q312" s="35"/>
      <c r="R312" s="109" t="str">
        <f>IF(AND(ISNUMBER(K312),ISNUMBER(C312)),-K312*C312,"")</f>
        <v/>
      </c>
      <c r="S312" s="102" t="s">
        <v>172</v>
      </c>
      <c r="T312" s="135" t="s">
        <v>383</v>
      </c>
      <c r="U312" s="36"/>
      <c r="V312" s="36"/>
      <c r="W312" s="36"/>
      <c r="X312" s="36"/>
      <c r="Y312" s="36"/>
      <c r="Z312" s="36"/>
      <c r="AA312" s="36"/>
      <c r="AB312" s="36"/>
      <c r="AC312" s="36"/>
      <c r="AD312" s="36"/>
      <c r="AE312" s="36"/>
      <c r="AF312" s="36"/>
      <c r="AG312" s="36"/>
      <c r="AH312" s="36"/>
      <c r="AI312" s="36"/>
      <c r="AJ312" s="36"/>
      <c r="AK312" s="36"/>
      <c r="AL312" s="36"/>
      <c r="AM312" s="36"/>
      <c r="AN312" s="37"/>
      <c r="AO312" s="37"/>
      <c r="AP312" s="37"/>
      <c r="AQ312" s="37"/>
      <c r="AR312" s="37"/>
      <c r="AS312" s="37"/>
      <c r="AT312" s="37"/>
      <c r="AU312" s="37"/>
      <c r="AV312" s="37"/>
      <c r="AW312" s="37"/>
      <c r="AX312" s="37"/>
      <c r="AY312" s="37"/>
      <c r="AZ312" s="37"/>
      <c r="BA312" s="37"/>
      <c r="BB312" s="37"/>
      <c r="BC312" s="37"/>
      <c r="BD312" s="37"/>
      <c r="BE312" s="37"/>
    </row>
    <row r="313" spans="2:59" s="31" customFormat="1" ht="15.5" x14ac:dyDescent="0.3">
      <c r="C313" s="34"/>
      <c r="D313" s="84"/>
      <c r="G313" s="34"/>
      <c r="H313" s="84"/>
      <c r="J313" s="33"/>
      <c r="K313" s="34"/>
      <c r="L313" s="34"/>
      <c r="M313" s="84"/>
      <c r="N313" s="84"/>
      <c r="O313" s="100"/>
      <c r="Q313" s="35"/>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9" s="31" customFormat="1" ht="15.5" x14ac:dyDescent="0.3">
      <c r="B314" s="9" t="s">
        <v>11</v>
      </c>
      <c r="C314" s="34"/>
      <c r="D314" s="84"/>
      <c r="G314" s="34"/>
      <c r="H314" s="84"/>
      <c r="J314" s="33"/>
      <c r="K314" s="38"/>
      <c r="L314" s="38"/>
      <c r="M314" s="84"/>
      <c r="N314" s="84"/>
      <c r="O314" s="100"/>
      <c r="Q314" s="35"/>
      <c r="R314" s="44"/>
      <c r="S314" s="36"/>
      <c r="T314" s="36"/>
      <c r="U314" s="36"/>
      <c r="V314" s="36"/>
      <c r="W314" s="44"/>
      <c r="X314" s="36"/>
      <c r="Y314" s="36"/>
      <c r="Z314" s="36"/>
      <c r="AA314" s="36"/>
      <c r="AB314" s="36"/>
      <c r="AC314" s="36"/>
      <c r="AD314" s="36"/>
      <c r="AE314" s="36"/>
      <c r="AF314" s="36"/>
      <c r="AG314" s="36"/>
      <c r="AH314" s="36"/>
      <c r="AI314" s="36"/>
      <c r="AJ314" s="36"/>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9" s="31" customFormat="1" ht="15.5" x14ac:dyDescent="0.3">
      <c r="B315" s="9"/>
      <c r="C315" s="34"/>
      <c r="D315" s="84"/>
      <c r="G315" s="34"/>
      <c r="H315" s="84"/>
      <c r="J315" s="33"/>
      <c r="K315" s="38" t="s">
        <v>329</v>
      </c>
      <c r="L315" s="38" t="s">
        <v>201</v>
      </c>
      <c r="M315" s="84"/>
      <c r="N315" s="84"/>
      <c r="O315" s="100"/>
      <c r="Q315" s="35"/>
      <c r="R315" s="44" t="s">
        <v>350</v>
      </c>
      <c r="S315" s="36"/>
      <c r="T315" s="36"/>
      <c r="U315" s="36"/>
      <c r="V315" s="36"/>
      <c r="W315" s="44"/>
      <c r="X315" s="36"/>
      <c r="Y315" s="36"/>
      <c r="Z315" s="36"/>
      <c r="AA315" s="36"/>
      <c r="AB315" s="36"/>
      <c r="AC315" s="36"/>
      <c r="AD315" s="36"/>
      <c r="AE315" s="36"/>
      <c r="AF315" s="36"/>
      <c r="AG315" s="36"/>
      <c r="AH315" s="36"/>
      <c r="AI315" s="36"/>
      <c r="AJ315" s="36"/>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9" s="31" customFormat="1" ht="31" x14ac:dyDescent="0.3">
      <c r="B316" s="78" t="s">
        <v>515</v>
      </c>
      <c r="C316" s="160"/>
      <c r="D316" s="84" t="s">
        <v>175</v>
      </c>
      <c r="G316" s="34"/>
      <c r="H316" s="84"/>
      <c r="J316" s="33" t="s">
        <v>565</v>
      </c>
      <c r="K316" s="96">
        <f>IF(ISNUMBER(L316),L316,Muut!$H$28*IF(OR(C317=Pudotusvalikot!$V$3,C317=Pudotusvalikot!$V$4),Muut!$E$38,IF(C317=Pudotusvalikot!$V$5,Muut!$E$39,IF(C317=Pudotusvalikot!$V$6,Muut!$E$40,Muut!$E$41))))</f>
        <v>0.22753333333333334</v>
      </c>
      <c r="L316" s="63"/>
      <c r="M316" s="41" t="s">
        <v>226</v>
      </c>
      <c r="N316" s="41"/>
      <c r="O316" s="265"/>
      <c r="Q316" s="35"/>
      <c r="R316" s="109" t="str">
        <f>IF(AND(ISNUMBER(K316),ISNUMBER(C316)),K316*C316,"")</f>
        <v/>
      </c>
      <c r="S316" s="102" t="s">
        <v>172</v>
      </c>
      <c r="T316" s="61"/>
      <c r="U316" s="61"/>
      <c r="V316" s="61"/>
      <c r="W316" s="36"/>
      <c r="X316" s="36"/>
      <c r="Y316" s="36"/>
      <c r="Z316" s="36"/>
      <c r="AA316" s="36"/>
      <c r="AB316" s="36"/>
      <c r="AC316" s="36"/>
      <c r="AD316" s="36"/>
      <c r="AE316" s="36"/>
      <c r="AF316" s="36"/>
      <c r="AG316" s="36"/>
      <c r="AH316" s="36"/>
      <c r="AI316" s="36"/>
      <c r="AJ316" s="36"/>
      <c r="AK316" s="36"/>
      <c r="AL316" s="36"/>
      <c r="AM316" s="36"/>
      <c r="AN316" s="37"/>
      <c r="AO316" s="37"/>
      <c r="AP316" s="37"/>
      <c r="AQ316" s="37"/>
      <c r="AR316" s="37"/>
      <c r="AS316" s="37"/>
      <c r="AT316" s="37"/>
      <c r="AU316" s="37"/>
      <c r="AV316" s="37"/>
      <c r="AW316" s="37"/>
      <c r="AX316" s="37"/>
      <c r="AY316" s="37"/>
      <c r="AZ316" s="37"/>
      <c r="BA316" s="37"/>
      <c r="BB316" s="37"/>
      <c r="BC316" s="37"/>
      <c r="BD316" s="37"/>
      <c r="BE316" s="37"/>
    </row>
    <row r="317" spans="2:59" s="31" customFormat="1" ht="15.5" x14ac:dyDescent="0.3">
      <c r="B317" s="170" t="s">
        <v>509</v>
      </c>
      <c r="C317" s="160" t="s">
        <v>242</v>
      </c>
      <c r="D317" s="34"/>
      <c r="E317" s="34"/>
      <c r="F317" s="34"/>
      <c r="G317" s="34"/>
      <c r="H317" s="59"/>
      <c r="J317" s="173"/>
      <c r="K317" s="173"/>
      <c r="L317" s="173"/>
      <c r="M317" s="41"/>
      <c r="N317" s="41"/>
      <c r="O317" s="265"/>
      <c r="Q317" s="47"/>
      <c r="R317" s="61"/>
      <c r="S317" s="102"/>
      <c r="T317" s="36"/>
      <c r="U317" s="36"/>
      <c r="V317" s="181"/>
      <c r="W317" s="181"/>
      <c r="X317" s="61"/>
      <c r="Y317" s="36"/>
      <c r="Z317" s="61"/>
      <c r="AA317" s="182"/>
      <c r="AB317" s="61"/>
      <c r="AC317" s="61"/>
      <c r="AD317" s="61"/>
      <c r="AE317" s="61"/>
      <c r="AF317" s="182"/>
      <c r="AG317" s="61"/>
      <c r="AH317" s="36"/>
      <c r="AI317" s="36"/>
      <c r="AJ317" s="36"/>
      <c r="AK317" s="108"/>
      <c r="AL317" s="36"/>
      <c r="AM317" s="36"/>
      <c r="AN317" s="37"/>
      <c r="AO317" s="37"/>
      <c r="AP317" s="37"/>
      <c r="AQ317" s="37"/>
      <c r="AR317" s="37"/>
      <c r="AS317" s="37"/>
      <c r="AT317" s="37"/>
      <c r="AU317" s="37"/>
      <c r="AV317" s="37"/>
      <c r="AW317" s="37"/>
      <c r="AX317" s="37"/>
      <c r="AY317" s="37"/>
      <c r="AZ317" s="37"/>
      <c r="BA317" s="37"/>
      <c r="BB317" s="37"/>
      <c r="BC317" s="37"/>
      <c r="BD317" s="37"/>
      <c r="BE317" s="37"/>
    </row>
    <row r="318" spans="2:59" s="31" customFormat="1" ht="46.5" x14ac:dyDescent="0.3">
      <c r="B318" s="78" t="s">
        <v>596</v>
      </c>
      <c r="C318" s="160"/>
      <c r="D318" s="84" t="s">
        <v>175</v>
      </c>
      <c r="G318" s="34"/>
      <c r="H318" s="84"/>
      <c r="J318" s="33" t="s">
        <v>522</v>
      </c>
      <c r="K318" s="138">
        <f>IF(ISNUMBER(L318),L318,Muut!$H$29)</f>
        <v>9.4500000000000011</v>
      </c>
      <c r="L318" s="185"/>
      <c r="M318" s="41" t="s">
        <v>226</v>
      </c>
      <c r="N318" s="41"/>
      <c r="O318" s="265"/>
      <c r="Q318" s="35"/>
      <c r="R318" s="109" t="str">
        <f>IF(AND(ISNUMBER(K318),ISNUMBER(C318)),K318*C318,"")</f>
        <v/>
      </c>
      <c r="S318" s="102" t="s">
        <v>172</v>
      </c>
      <c r="T318" s="36"/>
      <c r="U318" s="36"/>
      <c r="V318" s="36"/>
      <c r="W318" s="36"/>
      <c r="X318" s="36"/>
      <c r="Y318" s="36"/>
      <c r="Z318" s="36"/>
      <c r="AA318" s="36"/>
      <c r="AB318" s="36"/>
      <c r="AC318" s="36"/>
      <c r="AD318" s="36"/>
      <c r="AE318" s="36"/>
      <c r="AF318" s="36"/>
      <c r="AG318" s="36"/>
      <c r="AH318" s="36"/>
      <c r="AI318" s="36"/>
      <c r="AJ318" s="36"/>
      <c r="AK318" s="36"/>
      <c r="AL318" s="36"/>
      <c r="AM318" s="36"/>
      <c r="AN318" s="37"/>
      <c r="AO318" s="37"/>
      <c r="AP318" s="37"/>
      <c r="AQ318" s="37"/>
      <c r="AR318" s="37"/>
      <c r="AS318" s="37"/>
      <c r="AT318" s="37"/>
      <c r="AU318" s="37"/>
      <c r="AV318" s="37"/>
      <c r="AW318" s="37"/>
      <c r="AX318" s="37"/>
      <c r="AY318" s="37"/>
      <c r="AZ318" s="37"/>
      <c r="BA318" s="37"/>
      <c r="BB318" s="37"/>
      <c r="BC318" s="37"/>
      <c r="BD318" s="37"/>
      <c r="BE318" s="37"/>
    </row>
    <row r="319" spans="2:59" s="31" customFormat="1" ht="15.5" x14ac:dyDescent="0.3">
      <c r="B319" s="170" t="s">
        <v>572</v>
      </c>
      <c r="C319" s="160"/>
      <c r="D319" s="84" t="s">
        <v>8</v>
      </c>
      <c r="E319" s="34"/>
      <c r="F319" s="34"/>
      <c r="G319" s="34"/>
      <c r="H319" s="84"/>
      <c r="J319" s="33" t="s">
        <v>523</v>
      </c>
      <c r="K319" s="112">
        <f>IF(ISNUMBER(L319),L319,Muut!$H$31)</f>
        <v>9.4500000000000011</v>
      </c>
      <c r="L319" s="185"/>
      <c r="M319" s="41" t="s">
        <v>226</v>
      </c>
      <c r="N319" s="41"/>
      <c r="O319" s="265"/>
      <c r="Q319" s="35"/>
      <c r="R319" s="109" t="str">
        <f>IF(AND(ISNUMBER(K319),ISNUMBER(C318)),-K319*C318,"")</f>
        <v/>
      </c>
      <c r="S319" s="102" t="s">
        <v>172</v>
      </c>
      <c r="T319" s="102" t="s">
        <v>524</v>
      </c>
      <c r="U319" s="36"/>
      <c r="V319" s="36"/>
      <c r="W319" s="36"/>
      <c r="X319" s="36"/>
      <c r="Y319" s="36"/>
      <c r="Z319" s="36"/>
      <c r="AA319" s="36"/>
      <c r="AB319" s="36"/>
      <c r="AC319" s="36"/>
      <c r="AD319" s="36"/>
      <c r="AE319" s="36"/>
      <c r="AF319" s="36"/>
      <c r="AG319" s="36"/>
      <c r="AH319" s="36"/>
      <c r="AI319" s="36"/>
      <c r="AJ319" s="36"/>
      <c r="AK319" s="36"/>
      <c r="AL319" s="36"/>
      <c r="AM319" s="36"/>
      <c r="AN319" s="37"/>
      <c r="AO319" s="37"/>
      <c r="AP319" s="37"/>
      <c r="AQ319" s="37"/>
      <c r="AR319" s="37"/>
      <c r="AS319" s="37"/>
      <c r="AT319" s="37"/>
      <c r="AU319" s="37"/>
      <c r="AV319" s="37"/>
      <c r="AW319" s="37"/>
      <c r="AX319" s="37"/>
      <c r="AY319" s="37"/>
      <c r="AZ319" s="37"/>
      <c r="BA319" s="37"/>
      <c r="BB319" s="37"/>
      <c r="BC319" s="37"/>
      <c r="BD319" s="37"/>
      <c r="BE319" s="37"/>
    </row>
    <row r="320" spans="2:59" s="31" customFormat="1" ht="15.5" x14ac:dyDescent="0.3">
      <c r="B320" s="75"/>
      <c r="C320" s="34"/>
      <c r="D320" s="84"/>
      <c r="G320" s="34"/>
      <c r="H320" s="84"/>
      <c r="J320" s="33"/>
      <c r="P320" s="69"/>
      <c r="Q320" s="108"/>
      <c r="R320" s="98"/>
      <c r="S320" s="108"/>
      <c r="T320" s="37"/>
      <c r="U320" s="36"/>
      <c r="V320" s="36"/>
      <c r="W320" s="36"/>
      <c r="X320" s="36"/>
      <c r="Y320" s="36"/>
      <c r="Z320" s="36"/>
      <c r="AA320" s="36"/>
      <c r="AB320" s="36"/>
      <c r="AC320" s="36"/>
      <c r="AD320" s="36"/>
      <c r="AE320" s="36"/>
      <c r="AF320" s="36"/>
      <c r="AG320" s="36"/>
      <c r="AH320" s="36"/>
      <c r="AI320" s="36"/>
      <c r="AJ320" s="36"/>
      <c r="AK320" s="36"/>
      <c r="AL320" s="36"/>
      <c r="AM320" s="36"/>
      <c r="AN320" s="36"/>
      <c r="AO320" s="36"/>
      <c r="AP320" s="37"/>
      <c r="AQ320" s="37"/>
      <c r="AR320" s="37"/>
      <c r="AS320" s="37"/>
      <c r="AT320" s="37"/>
      <c r="AU320" s="37"/>
      <c r="AV320" s="37"/>
      <c r="AW320" s="37"/>
      <c r="AX320" s="37"/>
      <c r="AY320" s="37"/>
      <c r="AZ320" s="37"/>
      <c r="BA320" s="37"/>
      <c r="BB320" s="37"/>
      <c r="BC320" s="37"/>
      <c r="BD320" s="37"/>
      <c r="BE320" s="37"/>
      <c r="BF320" s="37"/>
      <c r="BG320" s="37"/>
    </row>
    <row r="321" spans="2:59" s="196" customFormat="1" ht="23" x14ac:dyDescent="0.3">
      <c r="B321" s="197" t="s">
        <v>616</v>
      </c>
      <c r="C321" s="198"/>
      <c r="D321" s="199"/>
      <c r="G321" s="198"/>
      <c r="H321" s="199"/>
      <c r="J321" s="200"/>
      <c r="P321" s="201"/>
      <c r="Q321" s="202"/>
      <c r="R321" s="203"/>
      <c r="S321" s="202"/>
      <c r="T321" s="204"/>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4"/>
      <c r="AQ321" s="204"/>
      <c r="AR321" s="204"/>
      <c r="AS321" s="204"/>
      <c r="AT321" s="204"/>
      <c r="AU321" s="204"/>
      <c r="AV321" s="204"/>
      <c r="AW321" s="204"/>
      <c r="AX321" s="204"/>
      <c r="AY321" s="204"/>
      <c r="AZ321" s="204"/>
      <c r="BA321" s="204"/>
      <c r="BB321" s="204"/>
      <c r="BC321" s="204"/>
      <c r="BD321" s="204"/>
      <c r="BE321" s="204"/>
      <c r="BF321" s="204"/>
      <c r="BG321" s="204"/>
    </row>
    <row r="322" spans="2:59" s="31" customFormat="1" ht="15.5" x14ac:dyDescent="0.3">
      <c r="C322" s="34"/>
      <c r="D322" s="84"/>
      <c r="G322" s="34"/>
      <c r="H322" s="84"/>
      <c r="P322" s="69"/>
      <c r="Q322" s="108"/>
      <c r="R322" s="98"/>
      <c r="S322" s="108"/>
      <c r="T322" s="37"/>
      <c r="U322" s="36"/>
      <c r="V322" s="36"/>
      <c r="W322" s="36"/>
      <c r="X322" s="36"/>
      <c r="Y322" s="36"/>
      <c r="Z322" s="36"/>
      <c r="AA322" s="36"/>
      <c r="AB322" s="36"/>
      <c r="AC322" s="36"/>
      <c r="AD322" s="36"/>
      <c r="AE322" s="36"/>
      <c r="AF322" s="36"/>
      <c r="AG322" s="36"/>
      <c r="AH322" s="36"/>
      <c r="AI322" s="36"/>
      <c r="AJ322" s="36"/>
      <c r="AK322" s="36"/>
      <c r="AL322" s="36"/>
      <c r="AM322" s="36"/>
      <c r="AN322" s="36"/>
      <c r="AO322" s="36"/>
      <c r="AP322" s="37"/>
      <c r="AQ322" s="37"/>
      <c r="AR322" s="37"/>
      <c r="AS322" s="37"/>
      <c r="AT322" s="37"/>
      <c r="AU322" s="37"/>
      <c r="AV322" s="37"/>
      <c r="AW322" s="37"/>
      <c r="AX322" s="37"/>
      <c r="AY322" s="37"/>
      <c r="AZ322" s="37"/>
      <c r="BA322" s="37"/>
      <c r="BB322" s="37"/>
      <c r="BC322" s="37"/>
      <c r="BD322" s="37"/>
      <c r="BE322" s="37"/>
      <c r="BF322" s="37"/>
      <c r="BG322" s="37"/>
    </row>
    <row r="323" spans="2:59" s="298" customFormat="1" ht="18" x14ac:dyDescent="0.3">
      <c r="B323" s="295" t="s">
        <v>42</v>
      </c>
      <c r="C323" s="296"/>
      <c r="D323" s="297"/>
      <c r="G323" s="296"/>
      <c r="H323" s="297"/>
      <c r="K323" s="296"/>
      <c r="L323" s="296"/>
      <c r="M323" s="297"/>
      <c r="N323" s="297"/>
      <c r="O323" s="300"/>
      <c r="P323" s="320"/>
      <c r="Q323" s="304"/>
      <c r="R323" s="298" t="str">
        <f>IF(OR(ISNUMBER(#REF!),ISNUMBER(#REF!),ISNUMBER(#REF!)),SUM(#REF!,#REF!,#REF!),"")</f>
        <v/>
      </c>
      <c r="S323" s="303"/>
      <c r="T323" s="303"/>
      <c r="U323" s="303"/>
      <c r="V323" s="303"/>
      <c r="W323" s="303"/>
      <c r="X323" s="303"/>
      <c r="Y323" s="303"/>
      <c r="Z323" s="303"/>
      <c r="AA323" s="303"/>
      <c r="AB323" s="303"/>
      <c r="AC323" s="303"/>
      <c r="AD323" s="303"/>
      <c r="AE323" s="303"/>
      <c r="AF323" s="303"/>
      <c r="AG323" s="303"/>
      <c r="AH323" s="303"/>
      <c r="AI323" s="303"/>
      <c r="AJ323" s="303"/>
      <c r="AK323" s="303"/>
      <c r="AL323" s="303"/>
      <c r="AM323" s="303"/>
      <c r="AN323" s="304"/>
      <c r="AO323" s="304"/>
      <c r="AP323" s="304"/>
      <c r="AQ323" s="304"/>
      <c r="AR323" s="304"/>
      <c r="AS323" s="304"/>
      <c r="AT323" s="304"/>
      <c r="AU323" s="304"/>
      <c r="AV323" s="304"/>
      <c r="AW323" s="304"/>
      <c r="AX323" s="304"/>
      <c r="AY323" s="304"/>
      <c r="AZ323" s="304"/>
      <c r="BA323" s="304"/>
      <c r="BB323" s="304"/>
      <c r="BC323" s="304"/>
      <c r="BD323" s="304"/>
      <c r="BE323" s="304"/>
    </row>
    <row r="324" spans="2:59" s="31" customFormat="1" ht="15.5" x14ac:dyDescent="0.3">
      <c r="B324" s="9"/>
      <c r="C324" s="34"/>
      <c r="D324" s="84"/>
      <c r="G324" s="34" t="s">
        <v>43</v>
      </c>
      <c r="H324" s="84"/>
      <c r="K324" s="38" t="s">
        <v>329</v>
      </c>
      <c r="L324" s="38" t="s">
        <v>201</v>
      </c>
      <c r="M324" s="84"/>
      <c r="N324" s="84"/>
      <c r="O324" s="255" t="s">
        <v>644</v>
      </c>
      <c r="Q324" s="35"/>
      <c r="R324" s="44" t="s">
        <v>350</v>
      </c>
      <c r="S324" s="36"/>
      <c r="T324" s="36" t="s">
        <v>267</v>
      </c>
      <c r="U324" s="36" t="s">
        <v>268</v>
      </c>
      <c r="V324" s="36" t="s">
        <v>269</v>
      </c>
      <c r="W324" s="36" t="s">
        <v>272</v>
      </c>
      <c r="X324" s="36" t="s">
        <v>270</v>
      </c>
      <c r="Y324" s="44" t="s">
        <v>271</v>
      </c>
      <c r="Z324" s="36" t="s">
        <v>273</v>
      </c>
      <c r="AA324" s="108"/>
      <c r="AB324" s="36"/>
      <c r="AC324" s="36"/>
      <c r="AD324" s="36"/>
      <c r="AE324" s="36"/>
      <c r="AF324" s="36"/>
      <c r="AG324" s="36"/>
      <c r="AH324" s="36"/>
      <c r="AI324" s="36"/>
      <c r="AJ324" s="36"/>
      <c r="AK324" s="36"/>
      <c r="AL324" s="36"/>
      <c r="AM324" s="36"/>
      <c r="AN324" s="37"/>
      <c r="AO324" s="37"/>
      <c r="AP324" s="37"/>
      <c r="AQ324" s="37"/>
      <c r="AR324" s="37"/>
      <c r="AS324" s="37"/>
      <c r="AT324" s="37"/>
      <c r="AU324" s="37"/>
      <c r="AV324" s="37"/>
      <c r="AW324" s="37"/>
      <c r="AX324" s="37"/>
      <c r="AY324" s="37"/>
      <c r="AZ324" s="37"/>
      <c r="BA324" s="37"/>
      <c r="BB324" s="37"/>
      <c r="BC324" s="37"/>
      <c r="BD324" s="37"/>
      <c r="BE324" s="37"/>
    </row>
    <row r="325" spans="2:59" s="31" customFormat="1" ht="15.5" x14ac:dyDescent="0.3">
      <c r="B325" s="78" t="s">
        <v>578</v>
      </c>
      <c r="C325" s="160"/>
      <c r="D325" s="84" t="s">
        <v>234</v>
      </c>
      <c r="G325" s="160"/>
      <c r="H325" s="84" t="s">
        <v>44</v>
      </c>
      <c r="J325" s="33" t="s">
        <v>566</v>
      </c>
      <c r="K325" s="112">
        <f>IF(ISNUMBER(L325),L325,IF(C327=Pudotusvalikot!$J$4,Kalusto!$E$98,IF(C327=Pudotusvalikot!$J$5,Kalusto!$E$99,IF(C327=Pudotusvalikot!$J$6,Kalusto!$E$100,IF(C327=Pudotusvalikot!$J$7,Kalusto!$E$101,IF(C327=Pudotusvalikot!$J$8,Kalusto!$E$102,IF(C327=Pudotusvalikot!$J$9,Kalusto!$E$103,IF(C327=Pudotusvalikot!$J$11,Kalusto!$E$104,Kalusto!$E$98))))))))</f>
        <v>5.5</v>
      </c>
      <c r="L325" s="63"/>
      <c r="M325" s="77" t="str">
        <f>IF(C327=Pudotusvalikot!$J$9,"kWh/100 km",IF(C327=Pudotusvalikot!$J$6,"kg/100 km","l/100 km"))</f>
        <v>l/100 km</v>
      </c>
      <c r="N325" s="77"/>
      <c r="O325" s="256"/>
      <c r="Q325" s="35"/>
      <c r="R325" s="109">
        <f>SUM(U325:Z325)</f>
        <v>0</v>
      </c>
      <c r="S325" s="102" t="s">
        <v>172</v>
      </c>
      <c r="T325" s="48">
        <f>IF(ISNUMBER(C326*C325*G325),C326*C325*G325,"")</f>
        <v>0</v>
      </c>
      <c r="U325" s="50">
        <f>IF(ISNUMBER(T325),IF(C327=Pudotusvalikot!$J$5,(Muut!$H$15+Muut!$H$18)*(T325*K325/100),0),"")</f>
        <v>0</v>
      </c>
      <c r="V325" s="50">
        <f>IF(ISNUMBER(T325),IF(C327=Pudotusvalikot!$J$4,(Muut!$H$14+Muut!$H$17)*(T325*K325/100),0),"")</f>
        <v>0</v>
      </c>
      <c r="W325" s="50">
        <f>IF(ISNUMBER(T325),IF(C327=Pudotusvalikot!$J$6,(Muut!$H$16+Muut!$H$19)*(T325*K325/100),0),"")</f>
        <v>0</v>
      </c>
      <c r="X325" s="50">
        <f>IF(ISNUMBER(T325),IF(C327=Pudotusvalikot!$J$7,((Muut!$H$15+Muut!$H$18)*(100%-Kalusto!$O$101)+(Muut!$H$14+Muut!$H$17)*Kalusto!$O$101)*(T325*K325/100),0),"")</f>
        <v>0</v>
      </c>
      <c r="Y325" s="74">
        <f>IF(ISNUMBER(T325),IF(C327=Pudotusvalikot!$J$8,((Kalusto!$K$102)*(100%-Kalusto!$O$102)+(Kalusto!$M$102)*Kalusto!$O$102)*(Muut!$H$13+Muut!$H$12)/100*T325/1000+((Kalusto!$G$102)*(100%-Kalusto!$O$102)+(Kalusto!$I$102)*Kalusto!$O$102)*(K325+Muut!$H$18)/100*T325,0),"")</f>
        <v>0</v>
      </c>
      <c r="Z325" s="74">
        <f>IF(ISNUMBER(T325),IF(C327=Pudotusvalikot!$J$9,Kalusto!$E$103*(K325+Muut!$H$12)/100*T325/1000,0),"")</f>
        <v>0</v>
      </c>
      <c r="AA325" s="108"/>
      <c r="AB325" s="36"/>
      <c r="AC325" s="36"/>
      <c r="AD325" s="36"/>
      <c r="AE325" s="36"/>
      <c r="AF325" s="36"/>
      <c r="AG325" s="36"/>
      <c r="AH325" s="36"/>
      <c r="AI325" s="36"/>
      <c r="AJ325" s="36"/>
      <c r="AK325" s="36"/>
      <c r="AL325" s="36"/>
      <c r="AM325" s="36"/>
      <c r="AN325" s="37"/>
      <c r="AO325" s="37"/>
      <c r="AP325" s="37"/>
      <c r="AQ325" s="37"/>
      <c r="AR325" s="37"/>
      <c r="AS325" s="37"/>
      <c r="AT325" s="37"/>
      <c r="AU325" s="37"/>
      <c r="AV325" s="37"/>
      <c r="AW325" s="37"/>
      <c r="AX325" s="37"/>
      <c r="AY325" s="37"/>
      <c r="AZ325" s="37"/>
      <c r="BA325" s="37"/>
      <c r="BB325" s="37"/>
      <c r="BC325" s="37"/>
      <c r="BD325" s="37"/>
      <c r="BE325" s="37"/>
    </row>
    <row r="326" spans="2:59" s="31" customFormat="1" ht="15.5" x14ac:dyDescent="0.3">
      <c r="B326" s="54" t="s">
        <v>577</v>
      </c>
      <c r="C326" s="161"/>
      <c r="D326" s="84" t="s">
        <v>5</v>
      </c>
      <c r="G326" s="34"/>
      <c r="H326" s="84"/>
      <c r="J326" s="33"/>
      <c r="K326" s="34"/>
      <c r="L326" s="34"/>
      <c r="M326" s="84"/>
      <c r="N326" s="84"/>
      <c r="O326" s="100"/>
      <c r="Q326" s="35"/>
      <c r="R326" s="99"/>
      <c r="S326" s="36"/>
      <c r="T326" s="36"/>
      <c r="U326" s="36"/>
      <c r="V326" s="36"/>
      <c r="W326" s="36"/>
      <c r="X326" s="36"/>
      <c r="Y326" s="36"/>
      <c r="Z326" s="36"/>
      <c r="AA326" s="36"/>
      <c r="AB326" s="36"/>
      <c r="AC326" s="36"/>
      <c r="AD326" s="36"/>
      <c r="AE326" s="36"/>
      <c r="AF326" s="36"/>
      <c r="AG326" s="36"/>
      <c r="AH326" s="36"/>
      <c r="AI326" s="36"/>
      <c r="AJ326" s="36"/>
      <c r="AK326" s="36"/>
      <c r="AL326" s="36"/>
      <c r="AM326" s="36"/>
      <c r="AN326" s="37"/>
      <c r="AO326" s="37"/>
      <c r="AP326" s="37"/>
      <c r="AQ326" s="37"/>
      <c r="AR326" s="37"/>
      <c r="AS326" s="37"/>
      <c r="AT326" s="37"/>
      <c r="AU326" s="37"/>
      <c r="AV326" s="37"/>
      <c r="AW326" s="37"/>
      <c r="AX326" s="37"/>
      <c r="AY326" s="37"/>
      <c r="AZ326" s="37"/>
      <c r="BA326" s="37"/>
      <c r="BB326" s="37"/>
      <c r="BC326" s="37"/>
      <c r="BD326" s="37"/>
      <c r="BE326" s="37"/>
    </row>
    <row r="327" spans="2:59" s="31" customFormat="1" ht="15.5" x14ac:dyDescent="0.3">
      <c r="B327" s="54" t="s">
        <v>576</v>
      </c>
      <c r="C327" s="399" t="s">
        <v>242</v>
      </c>
      <c r="D327" s="399"/>
      <c r="G327" s="34"/>
      <c r="H327" s="84"/>
      <c r="J327" s="33"/>
      <c r="K327" s="34"/>
      <c r="L327" s="34"/>
      <c r="M327" s="84"/>
      <c r="N327" s="84"/>
      <c r="O327" s="100"/>
      <c r="Q327" s="35"/>
      <c r="R327" s="99"/>
      <c r="S327" s="36"/>
      <c r="T327" s="36"/>
      <c r="U327" s="36"/>
      <c r="V327" s="36"/>
      <c r="W327" s="36"/>
      <c r="X327" s="36"/>
      <c r="Y327" s="36"/>
      <c r="Z327" s="36"/>
      <c r="AA327" s="36"/>
      <c r="AB327" s="36"/>
      <c r="AC327" s="36"/>
      <c r="AD327" s="36"/>
      <c r="AE327" s="36"/>
      <c r="AF327" s="36"/>
      <c r="AG327" s="36"/>
      <c r="AH327" s="36"/>
      <c r="AI327" s="36"/>
      <c r="AJ327" s="36"/>
      <c r="AK327" s="36"/>
      <c r="AL327" s="36"/>
      <c r="AM327" s="36"/>
      <c r="AN327" s="37"/>
      <c r="AO327" s="37"/>
      <c r="AP327" s="37"/>
      <c r="AQ327" s="37"/>
      <c r="AR327" s="37"/>
      <c r="AS327" s="37"/>
      <c r="AT327" s="37"/>
      <c r="AU327" s="37"/>
      <c r="AV327" s="37"/>
      <c r="AW327" s="37"/>
      <c r="AX327" s="37"/>
      <c r="AY327" s="37"/>
      <c r="AZ327" s="37"/>
      <c r="BA327" s="37"/>
      <c r="BB327" s="37"/>
      <c r="BC327" s="37"/>
      <c r="BD327" s="37"/>
      <c r="BE327" s="37"/>
    </row>
    <row r="329" spans="2:59" ht="13.9" hidden="1" customHeight="1" x14ac:dyDescent="0.3"/>
    <row r="330" spans="2:59" ht="13.9" hidden="1" customHeight="1" x14ac:dyDescent="0.3"/>
    <row r="331" spans="2:59" ht="13.9" hidden="1" customHeight="1" x14ac:dyDescent="0.3"/>
    <row r="332" spans="2:59" ht="13.9" hidden="1" customHeight="1" x14ac:dyDescent="0.3"/>
    <row r="333" spans="2:59" ht="13.9" hidden="1" customHeight="1" x14ac:dyDescent="0.3"/>
    <row r="334" spans="2:59" ht="13.9" hidden="1" customHeight="1" x14ac:dyDescent="0.3"/>
    <row r="335" spans="2:59" ht="13.9" hidden="1" customHeight="1" x14ac:dyDescent="0.3"/>
    <row r="336" spans="2:59" ht="13.9" hidden="1" customHeight="1" x14ac:dyDescent="0.3"/>
    <row r="337" ht="13.9" hidden="1" customHeight="1" x14ac:dyDescent="0.3"/>
    <row r="338" ht="13.9" hidden="1" customHeight="1" x14ac:dyDescent="0.3"/>
    <row r="339" ht="13.9" hidden="1" customHeight="1" x14ac:dyDescent="0.3"/>
    <row r="340" ht="13.9" hidden="1" customHeight="1" x14ac:dyDescent="0.3"/>
    <row r="341" ht="13.9" hidden="1" customHeight="1" x14ac:dyDescent="0.3"/>
    <row r="342" ht="13.9" hidden="1" customHeight="1" x14ac:dyDescent="0.3"/>
    <row r="343" ht="13.9" hidden="1" customHeight="1" x14ac:dyDescent="0.3"/>
    <row r="344" ht="13.9" hidden="1" customHeight="1" x14ac:dyDescent="0.3"/>
    <row r="345" ht="13.9" hidden="1" customHeight="1" x14ac:dyDescent="0.3"/>
    <row r="346" ht="13.9" hidden="1" customHeight="1" x14ac:dyDescent="0.3"/>
    <row r="347" ht="13.9" hidden="1" customHeight="1" x14ac:dyDescent="0.3"/>
    <row r="348" ht="13.9" hidden="1" customHeight="1" x14ac:dyDescent="0.3"/>
    <row r="349" ht="13.9" hidden="1" customHeight="1" x14ac:dyDescent="0.3"/>
    <row r="350" ht="13.9" hidden="1" customHeight="1" x14ac:dyDescent="0.3"/>
    <row r="351" ht="13.9" hidden="1" customHeight="1" x14ac:dyDescent="0.3"/>
    <row r="352" ht="13.9" hidden="1" customHeight="1" x14ac:dyDescent="0.3"/>
    <row r="353" ht="13.9" hidden="1" customHeight="1" x14ac:dyDescent="0.3"/>
    <row r="354" ht="13.9" hidden="1" customHeight="1" x14ac:dyDescent="0.3"/>
    <row r="355" ht="13.9" hidden="1" customHeight="1" x14ac:dyDescent="0.3"/>
    <row r="356" ht="13.9" hidden="1" customHeight="1" x14ac:dyDescent="0.3"/>
    <row r="357" ht="13.9" hidden="1" customHeight="1" x14ac:dyDescent="0.3"/>
    <row r="358" ht="13.9" hidden="1" customHeight="1" x14ac:dyDescent="0.3"/>
    <row r="359" ht="13.9" hidden="1" customHeight="1" x14ac:dyDescent="0.3"/>
    <row r="360" ht="13.9" hidden="1" customHeight="1" x14ac:dyDescent="0.3"/>
    <row r="361" ht="13.9" hidden="1" customHeight="1" x14ac:dyDescent="0.3"/>
    <row r="362" ht="13.9" hidden="1" customHeight="1" x14ac:dyDescent="0.3"/>
    <row r="363" ht="13.9" hidden="1" customHeight="1" x14ac:dyDescent="0.3"/>
    <row r="364" ht="13.9" hidden="1" customHeight="1" x14ac:dyDescent="0.3"/>
    <row r="365" ht="13.9" hidden="1" customHeight="1" x14ac:dyDescent="0.3"/>
    <row r="366" ht="13.9" hidden="1" customHeight="1" x14ac:dyDescent="0.3"/>
    <row r="367" ht="13.9" hidden="1" customHeight="1" x14ac:dyDescent="0.3"/>
    <row r="368" ht="13.9" hidden="1" customHeight="1" x14ac:dyDescent="0.3"/>
    <row r="369" ht="13.9" hidden="1" customHeight="1" x14ac:dyDescent="0.3"/>
    <row r="370" ht="13.9" hidden="1" customHeight="1" x14ac:dyDescent="0.3"/>
    <row r="371" ht="13.9" hidden="1" customHeight="1" x14ac:dyDescent="0.3"/>
    <row r="372" ht="13.9" hidden="1" customHeight="1" x14ac:dyDescent="0.3"/>
    <row r="373" ht="13.9" hidden="1" customHeight="1" x14ac:dyDescent="0.3"/>
    <row r="374" ht="13.9" hidden="1" customHeight="1" x14ac:dyDescent="0.3"/>
    <row r="375" ht="13.9" hidden="1" customHeight="1" x14ac:dyDescent="0.3"/>
    <row r="376" ht="13.9" hidden="1" customHeight="1" x14ac:dyDescent="0.3"/>
    <row r="377" ht="13.9" hidden="1" customHeight="1" x14ac:dyDescent="0.3"/>
    <row r="378" ht="13.9" hidden="1" customHeight="1" x14ac:dyDescent="0.3"/>
    <row r="379" ht="13.9" hidden="1" customHeight="1" x14ac:dyDescent="0.3"/>
    <row r="380" ht="13.9" hidden="1" customHeight="1" x14ac:dyDescent="0.3"/>
    <row r="381" ht="13.9" hidden="1" customHeight="1" x14ac:dyDescent="0.3"/>
    <row r="382" ht="13.9" hidden="1" customHeight="1" x14ac:dyDescent="0.3"/>
    <row r="383" ht="13.9" hidden="1" customHeight="1" x14ac:dyDescent="0.3"/>
    <row r="384" ht="13.9" hidden="1" customHeight="1" x14ac:dyDescent="0.3"/>
    <row r="385" ht="13.9" hidden="1" customHeight="1" x14ac:dyDescent="0.3"/>
    <row r="386" ht="13.9" hidden="1" customHeight="1" x14ac:dyDescent="0.3"/>
    <row r="387" ht="13.9" hidden="1" customHeight="1" x14ac:dyDescent="0.3"/>
    <row r="388" ht="13.9" hidden="1" customHeight="1" x14ac:dyDescent="0.3"/>
    <row r="389" ht="13.9" hidden="1" customHeight="1" x14ac:dyDescent="0.3"/>
    <row r="390" ht="13.9" hidden="1" customHeight="1" x14ac:dyDescent="0.3"/>
    <row r="391" ht="13.9" hidden="1" customHeight="1" x14ac:dyDescent="0.3"/>
    <row r="392" ht="13.9" hidden="1" customHeight="1" x14ac:dyDescent="0.3"/>
    <row r="393" ht="13.9" hidden="1" customHeight="1" x14ac:dyDescent="0.3"/>
    <row r="394" ht="13.9" hidden="1" customHeight="1" x14ac:dyDescent="0.3"/>
    <row r="395" ht="13.9" hidden="1" customHeight="1" x14ac:dyDescent="0.3"/>
    <row r="396" ht="13.9" hidden="1" customHeight="1" x14ac:dyDescent="0.3"/>
    <row r="397" ht="13.9" hidden="1" customHeight="1" x14ac:dyDescent="0.3"/>
    <row r="398" ht="13.9" hidden="1" customHeight="1" x14ac:dyDescent="0.3"/>
    <row r="399" ht="13.9" hidden="1" customHeight="1" x14ac:dyDescent="0.3"/>
    <row r="401" spans="17:59" ht="13.9" customHeight="1" x14ac:dyDescent="0.3">
      <c r="Q401" s="24"/>
      <c r="R401" s="285" t="s">
        <v>346</v>
      </c>
      <c r="S401" s="22"/>
      <c r="T401" s="233"/>
      <c r="U401" s="234"/>
      <c r="V401" s="234"/>
      <c r="W401" s="234"/>
      <c r="X401" s="234"/>
      <c r="Y401" s="234"/>
      <c r="Z401" s="234"/>
      <c r="AA401" s="234"/>
      <c r="AB401" s="234"/>
      <c r="AC401" s="234"/>
      <c r="AD401" s="234"/>
      <c r="AN401" s="23"/>
      <c r="AO401" s="23"/>
      <c r="BF401" s="5"/>
      <c r="BG401" s="5"/>
    </row>
    <row r="402" spans="17:59" ht="13.9" customHeight="1" x14ac:dyDescent="0.3">
      <c r="Q402" s="24"/>
      <c r="R402" s="244"/>
      <c r="S402" s="23"/>
      <c r="T402" s="233"/>
      <c r="U402" s="234"/>
      <c r="V402" s="234"/>
      <c r="W402" s="234"/>
      <c r="X402" s="234"/>
      <c r="Y402" s="234" t="s">
        <v>172</v>
      </c>
      <c r="Z402" s="234" t="s">
        <v>658</v>
      </c>
      <c r="AA402" s="234"/>
      <c r="AB402" s="234"/>
      <c r="AC402" s="234"/>
      <c r="AD402" s="234"/>
      <c r="AN402" s="23"/>
      <c r="AO402" s="23"/>
      <c r="BF402" s="5"/>
      <c r="BG402" s="5"/>
    </row>
    <row r="403" spans="17:59" ht="13.9" customHeight="1" x14ac:dyDescent="0.3">
      <c r="Q403" s="24"/>
      <c r="R403" s="244"/>
      <c r="S403" s="286" t="str">
        <f>B9</f>
        <v>Käsittelyssä tarvittavien työkoneiden ja muun työmaakaluston kuljetus alueelle sekä niiden kuljetus alueelta pois käsittelyn päättyessä</v>
      </c>
      <c r="T403" s="287"/>
      <c r="U403" s="288"/>
      <c r="V403" s="288"/>
      <c r="W403" s="288" t="s">
        <v>730</v>
      </c>
      <c r="X403" s="288" t="s">
        <v>674</v>
      </c>
      <c r="Y403" s="289">
        <f ca="1">SUM(Y404,Y407)</f>
        <v>0</v>
      </c>
      <c r="Z403" s="290" t="str">
        <f ca="1">IF(ISERROR(Y403/Y444),"--",Y403/Y444)</f>
        <v>--</v>
      </c>
      <c r="AA403" s="234"/>
      <c r="AB403" s="234"/>
      <c r="AC403" s="234"/>
      <c r="AD403" s="234"/>
      <c r="AN403" s="23"/>
      <c r="AO403" s="23"/>
      <c r="BF403" s="5"/>
      <c r="BG403" s="5"/>
    </row>
    <row r="404" spans="17:59" ht="13.9" customHeight="1" x14ac:dyDescent="0.3">
      <c r="Q404" s="24"/>
      <c r="R404" s="244"/>
      <c r="S404" s="212" t="s">
        <v>629</v>
      </c>
      <c r="T404" s="234"/>
      <c r="U404" s="234"/>
      <c r="V404" s="234"/>
      <c r="W404" s="234" t="s">
        <v>730</v>
      </c>
      <c r="X404" s="234" t="s">
        <v>348</v>
      </c>
      <c r="Y404" s="235">
        <f ca="1">SUM(Y405:Y406)</f>
        <v>0</v>
      </c>
      <c r="Z404" s="284" t="str">
        <f ca="1">IF(ISERROR(Y404/Y444),"--",Y404/Y444)</f>
        <v>--</v>
      </c>
      <c r="AA404" s="234"/>
      <c r="AB404" s="234"/>
      <c r="AC404" s="234"/>
      <c r="AD404" s="234"/>
      <c r="AN404" s="23"/>
      <c r="AO404" s="23"/>
      <c r="BF404" s="5"/>
      <c r="BG404" s="5"/>
    </row>
    <row r="405" spans="17:59" ht="13.9" customHeight="1" x14ac:dyDescent="0.3">
      <c r="Q405" s="24"/>
      <c r="R405" s="244"/>
      <c r="S405" s="252" t="s">
        <v>40</v>
      </c>
      <c r="T405" s="234"/>
      <c r="U405" s="234"/>
      <c r="V405" s="234"/>
      <c r="W405" s="234" t="s">
        <v>40</v>
      </c>
      <c r="X405" s="234"/>
      <c r="Y405" s="235">
        <f>SUM(AB12,AB17,AB22)</f>
        <v>0</v>
      </c>
      <c r="Z405" s="284" t="str">
        <f ca="1">IF(ISERROR(Y405/Y444),"--",Y405/Y444)</f>
        <v>--</v>
      </c>
      <c r="AA405" s="234"/>
      <c r="AB405" s="234"/>
      <c r="AC405" s="234"/>
      <c r="AD405" s="234"/>
      <c r="AN405" s="23"/>
      <c r="AO405" s="23"/>
      <c r="BF405" s="5"/>
      <c r="BG405" s="5"/>
    </row>
    <row r="406" spans="17:59" ht="13.9" customHeight="1" x14ac:dyDescent="0.3">
      <c r="Q406" s="24"/>
      <c r="R406" s="244"/>
      <c r="S406" s="252" t="s">
        <v>637</v>
      </c>
      <c r="T406" s="234"/>
      <c r="U406" s="234"/>
      <c r="V406" s="234"/>
      <c r="W406" s="234" t="s">
        <v>40</v>
      </c>
      <c r="X406" s="234"/>
      <c r="Y406" s="235">
        <f ca="1">SUM(AG22,AG17,AG12)</f>
        <v>0</v>
      </c>
      <c r="Z406" s="284" t="str">
        <f ca="1">IF(ISERROR(Y406/Y444),"--",Y406/Y444)</f>
        <v>--</v>
      </c>
      <c r="AA406" s="234"/>
      <c r="AB406" s="234"/>
      <c r="AC406" s="234"/>
      <c r="AD406" s="234"/>
      <c r="AN406" s="23"/>
      <c r="AO406" s="23"/>
      <c r="BF406" s="5"/>
      <c r="BG406" s="5"/>
    </row>
    <row r="407" spans="17:59" ht="13.9" customHeight="1" x14ac:dyDescent="0.3">
      <c r="Q407" s="24"/>
      <c r="R407" s="244"/>
      <c r="S407" s="212" t="s">
        <v>630</v>
      </c>
      <c r="T407" s="234"/>
      <c r="U407" s="234"/>
      <c r="V407" s="234"/>
      <c r="W407" s="234" t="s">
        <v>730</v>
      </c>
      <c r="X407" s="234" t="s">
        <v>673</v>
      </c>
      <c r="Y407" s="235">
        <f ca="1">SUM(Y408:Y409)</f>
        <v>0</v>
      </c>
      <c r="Z407" s="284" t="str">
        <f ca="1">IF(ISERROR(Y407/Y444),"--",Y407/Y444)</f>
        <v>--</v>
      </c>
      <c r="AA407" s="234"/>
      <c r="AB407" s="234"/>
      <c r="AC407" s="234"/>
      <c r="AD407" s="234"/>
      <c r="AN407" s="23"/>
      <c r="AO407" s="23"/>
      <c r="BF407" s="5"/>
      <c r="BG407" s="5"/>
    </row>
    <row r="408" spans="17:59" ht="13.9" customHeight="1" x14ac:dyDescent="0.3">
      <c r="Q408" s="24"/>
      <c r="R408" s="244"/>
      <c r="S408" s="252" t="s">
        <v>40</v>
      </c>
      <c r="T408" s="234"/>
      <c r="U408" s="234"/>
      <c r="V408" s="234"/>
      <c r="W408" s="234" t="s">
        <v>40</v>
      </c>
      <c r="X408" s="234"/>
      <c r="Y408" s="235">
        <f>SUM(AB22,AB17,AB12)</f>
        <v>0</v>
      </c>
      <c r="Z408" s="284" t="str">
        <f ca="1">IF(ISERROR(Y408/Y444),"--",Y408/Y444)</f>
        <v>--</v>
      </c>
      <c r="AA408" s="234"/>
      <c r="AB408" s="234"/>
      <c r="AC408" s="234"/>
      <c r="AD408" s="234"/>
      <c r="AN408" s="23"/>
      <c r="AO408" s="23"/>
      <c r="BF408" s="5"/>
      <c r="BG408" s="5"/>
    </row>
    <row r="409" spans="17:59" ht="13.9" customHeight="1" x14ac:dyDescent="0.3">
      <c r="Q409" s="24"/>
      <c r="R409" s="244"/>
      <c r="S409" s="252" t="s">
        <v>637</v>
      </c>
      <c r="T409" s="234"/>
      <c r="U409" s="234"/>
      <c r="V409" s="234"/>
      <c r="W409" s="234" t="s">
        <v>40</v>
      </c>
      <c r="X409" s="234"/>
      <c r="Y409" s="235">
        <f ca="1">SUM(AG22,AG17,AG12)</f>
        <v>0</v>
      </c>
      <c r="Z409" s="284" t="str">
        <f ca="1">IF(ISERROR(Y409/Y444),"--",Y409/Y444)</f>
        <v>--</v>
      </c>
      <c r="AA409" s="234"/>
      <c r="AB409" s="234"/>
      <c r="AC409" s="234"/>
      <c r="AD409" s="234"/>
      <c r="AN409" s="23"/>
      <c r="AO409" s="23"/>
      <c r="BF409" s="5"/>
      <c r="BG409" s="5"/>
    </row>
    <row r="410" spans="17:59" ht="13.9" customHeight="1" x14ac:dyDescent="0.3">
      <c r="Q410" s="24"/>
      <c r="R410" s="244"/>
      <c r="S410" s="286" t="str">
        <f>B29</f>
        <v>Käsittelyä varten tehtävät puuston, asfalttipintojen  tai rakenteiden poisto</v>
      </c>
      <c r="T410" s="287"/>
      <c r="U410" s="288"/>
      <c r="V410" s="288"/>
      <c r="W410" s="288" t="s">
        <v>731</v>
      </c>
      <c r="X410" s="288" t="s">
        <v>348</v>
      </c>
      <c r="Y410" s="289">
        <f>SUM(Y411,Y412,Y413)</f>
        <v>0</v>
      </c>
      <c r="Z410" s="290" t="str">
        <f ca="1">IF(ISERROR(Y410/Y444),"--",Y410/Y444)</f>
        <v>--</v>
      </c>
      <c r="AA410" s="234"/>
      <c r="AB410" s="234"/>
      <c r="AC410" s="234"/>
      <c r="AD410" s="234"/>
      <c r="AN410" s="23"/>
      <c r="AO410" s="23"/>
      <c r="BF410" s="5"/>
      <c r="BG410" s="5"/>
    </row>
    <row r="411" spans="17:59" ht="13.9" customHeight="1" x14ac:dyDescent="0.3">
      <c r="Q411" s="24"/>
      <c r="R411" s="244"/>
      <c r="S411" s="212" t="s">
        <v>634</v>
      </c>
      <c r="T411" s="234"/>
      <c r="U411" s="234"/>
      <c r="V411" s="234"/>
      <c r="W411" s="234" t="s">
        <v>655</v>
      </c>
      <c r="X411" s="234" t="s">
        <v>348</v>
      </c>
      <c r="Y411" s="235">
        <f>SUM(R32)</f>
        <v>0</v>
      </c>
      <c r="Z411" s="284" t="str">
        <f ca="1">IF(ISERROR(Y411/Y444),"--",Y411/Y444)</f>
        <v>--</v>
      </c>
      <c r="AA411" s="234"/>
      <c r="AB411" s="234"/>
      <c r="AC411" s="234"/>
      <c r="AD411" s="234"/>
      <c r="AN411" s="23"/>
      <c r="AO411" s="23"/>
      <c r="BF411" s="5"/>
      <c r="BG411" s="5"/>
    </row>
    <row r="412" spans="17:59" ht="13.9" customHeight="1" x14ac:dyDescent="0.3">
      <c r="Q412" s="24"/>
      <c r="R412" s="244"/>
      <c r="S412" s="212" t="s">
        <v>631</v>
      </c>
      <c r="T412" s="234"/>
      <c r="U412" s="234"/>
      <c r="V412" s="234"/>
      <c r="W412" s="234" t="s">
        <v>655</v>
      </c>
      <c r="X412" s="234" t="s">
        <v>348</v>
      </c>
      <c r="Y412" s="235">
        <f>SUM(R33)</f>
        <v>0</v>
      </c>
      <c r="Z412" s="284" t="str">
        <f ca="1">IF(ISERROR(Y412/Y444),"--",Y412/Y444)</f>
        <v>--</v>
      </c>
      <c r="AA412" s="234"/>
      <c r="AB412" s="234"/>
      <c r="AC412" s="234"/>
      <c r="AD412" s="234"/>
      <c r="AN412" s="23"/>
      <c r="AO412" s="23"/>
      <c r="BF412" s="5"/>
      <c r="BG412" s="5"/>
    </row>
    <row r="413" spans="17:59" ht="13.9" customHeight="1" x14ac:dyDescent="0.3">
      <c r="Q413" s="24"/>
      <c r="R413" s="244"/>
      <c r="S413" s="212" t="s">
        <v>55</v>
      </c>
      <c r="T413" s="234"/>
      <c r="U413" s="234"/>
      <c r="V413" s="234"/>
      <c r="W413" s="234" t="s">
        <v>655</v>
      </c>
      <c r="X413" s="234" t="s">
        <v>348</v>
      </c>
      <c r="Y413" s="235">
        <f>SUM(R35)</f>
        <v>0</v>
      </c>
      <c r="Z413" s="284" t="str">
        <f ca="1">IF(ISERROR(Y413/Y444),"--",Y413/Y444)</f>
        <v>--</v>
      </c>
      <c r="AA413" s="234"/>
      <c r="AB413" s="234"/>
      <c r="AC413" s="234"/>
      <c r="AD413" s="234"/>
      <c r="AN413" s="23"/>
      <c r="AO413" s="23"/>
      <c r="BF413" s="5"/>
      <c r="BG413" s="5"/>
    </row>
    <row r="414" spans="17:59" ht="13.9" customHeight="1" x14ac:dyDescent="0.3">
      <c r="Q414" s="24"/>
      <c r="R414" s="244"/>
      <c r="S414" s="286" t="s">
        <v>632</v>
      </c>
      <c r="T414" s="288"/>
      <c r="U414" s="288"/>
      <c r="V414" s="288"/>
      <c r="W414" s="288" t="s">
        <v>666</v>
      </c>
      <c r="X414" s="288" t="s">
        <v>633</v>
      </c>
      <c r="Y414" s="289">
        <f>SUM(R31)</f>
        <v>0</v>
      </c>
      <c r="Z414" s="290" t="str">
        <f ca="1">IF(ISERROR(Y414/Y444),"--",Y414/Y444)</f>
        <v>--</v>
      </c>
      <c r="AA414" s="234"/>
      <c r="AB414" s="234"/>
      <c r="AC414" s="234"/>
      <c r="AD414" s="234"/>
      <c r="AN414" s="23"/>
      <c r="AO414" s="23"/>
      <c r="BF414" s="5"/>
      <c r="BG414" s="5"/>
    </row>
    <row r="415" spans="17:59" ht="13.9" customHeight="1" x14ac:dyDescent="0.3">
      <c r="Q415" s="24"/>
      <c r="R415" s="244"/>
      <c r="S415" s="286" t="str">
        <f>B38</f>
        <v>Asennus- ja valmisteluvaiheessa tarvittavat työkoneet</v>
      </c>
      <c r="T415" s="287"/>
      <c r="U415" s="288"/>
      <c r="V415" s="288"/>
      <c r="W415" s="288" t="s">
        <v>655</v>
      </c>
      <c r="X415" s="288" t="s">
        <v>635</v>
      </c>
      <c r="Y415" s="289">
        <f>SUM(R41,R45,R49)</f>
        <v>0</v>
      </c>
      <c r="Z415" s="290" t="str">
        <f ca="1">IF(ISERROR(Y415/Y444),"--",Y415/Y444)</f>
        <v>--</v>
      </c>
      <c r="AA415" s="234"/>
      <c r="AB415" s="234"/>
      <c r="AC415" s="234"/>
      <c r="AD415" s="234"/>
      <c r="AN415" s="23"/>
      <c r="AO415" s="23"/>
      <c r="BF415" s="5"/>
      <c r="BG415" s="5"/>
    </row>
    <row r="416" spans="17:59" ht="13.9" customHeight="1" x14ac:dyDescent="0.3">
      <c r="Q416" s="24"/>
      <c r="R416" s="244"/>
      <c r="S416" s="286" t="str">
        <f>B53</f>
        <v>Mahdollisten käsittelyssä poistettavien maa-ainesten ja purkumateriaalien kuljetukset pois alueelta</v>
      </c>
      <c r="T416" s="287"/>
      <c r="U416" s="288"/>
      <c r="V416" s="288"/>
      <c r="W416" s="288" t="s">
        <v>730</v>
      </c>
      <c r="X416" s="288" t="s">
        <v>664</v>
      </c>
      <c r="Y416" s="289">
        <f ca="1">SUM(Y417:Y418)</f>
        <v>0</v>
      </c>
      <c r="Z416" s="290" t="str">
        <f ca="1">IF(ISERROR(Y416/Y444),"--",Y416/Y444)</f>
        <v>--</v>
      </c>
      <c r="AA416" s="234"/>
      <c r="AB416" s="234"/>
      <c r="AC416" s="234"/>
      <c r="AD416" s="234"/>
      <c r="AN416" s="23"/>
      <c r="AO416" s="23"/>
      <c r="BF416" s="5"/>
      <c r="BG416" s="5"/>
    </row>
    <row r="417" spans="17:59" ht="13.9" customHeight="1" x14ac:dyDescent="0.3">
      <c r="Q417" s="24"/>
      <c r="R417" s="244"/>
      <c r="S417" s="212" t="s">
        <v>40</v>
      </c>
      <c r="T417" s="233"/>
      <c r="U417" s="234"/>
      <c r="V417" s="234"/>
      <c r="W417" s="234" t="s">
        <v>40</v>
      </c>
      <c r="X417" s="234" t="s">
        <v>664</v>
      </c>
      <c r="Y417" s="235">
        <f>SUM(AB56,AB61,AB66,AB71,AB76)</f>
        <v>0</v>
      </c>
      <c r="Z417" s="284" t="str">
        <f ca="1">IF(ISERROR(Y417/Y444),"--",Y417/Y444)</f>
        <v>--</v>
      </c>
      <c r="AA417" s="234"/>
      <c r="AB417" s="234"/>
      <c r="AC417" s="234"/>
      <c r="AD417" s="234"/>
      <c r="AN417" s="23"/>
      <c r="AO417" s="23"/>
      <c r="BF417" s="5"/>
      <c r="BG417" s="5"/>
    </row>
    <row r="418" spans="17:59" ht="13.9" customHeight="1" x14ac:dyDescent="0.3">
      <c r="Q418" s="24"/>
      <c r="R418" s="244"/>
      <c r="S418" s="212" t="s">
        <v>637</v>
      </c>
      <c r="T418" s="233"/>
      <c r="U418" s="234"/>
      <c r="V418" s="234"/>
      <c r="W418" s="234" t="s">
        <v>40</v>
      </c>
      <c r="X418" s="234" t="s">
        <v>664</v>
      </c>
      <c r="Y418" s="235">
        <f ca="1">SUM(AG56,AG61,AG66,AG71,AG76)</f>
        <v>0</v>
      </c>
      <c r="Z418" s="284" t="str">
        <f ca="1">IF(ISERROR(Y418/Y444),"--",Y418/Y444)</f>
        <v>--</v>
      </c>
      <c r="AA418" s="234"/>
      <c r="AB418" s="234"/>
      <c r="AC418" s="234"/>
      <c r="AD418" s="234"/>
      <c r="AN418" s="23"/>
      <c r="AO418" s="23"/>
      <c r="BF418" s="5"/>
      <c r="BG418" s="5"/>
    </row>
    <row r="419" spans="17:59" ht="13.9" customHeight="1" x14ac:dyDescent="0.3">
      <c r="Q419" s="24"/>
      <c r="R419" s="244"/>
      <c r="S419" s="286" t="str">
        <f>B83</f>
        <v>Mahdolliset poistettavia maa-aineksia korvaavien maa-ainesten määrä</v>
      </c>
      <c r="T419" s="287"/>
      <c r="U419" s="288"/>
      <c r="V419" s="288"/>
      <c r="W419" s="288" t="s">
        <v>654</v>
      </c>
      <c r="X419" s="288" t="s">
        <v>664</v>
      </c>
      <c r="Y419" s="289">
        <f>SUM(R85:R89)</f>
        <v>0</v>
      </c>
      <c r="Z419" s="290" t="str">
        <f ca="1">IF(ISERROR(Y419/Y444),"--",Y419/Y444)</f>
        <v>--</v>
      </c>
      <c r="AA419" s="234"/>
      <c r="AB419" s="234"/>
      <c r="AC419" s="234"/>
      <c r="AD419" s="234"/>
      <c r="AN419" s="23"/>
      <c r="AO419" s="23"/>
      <c r="BF419" s="5"/>
      <c r="BG419" s="5"/>
    </row>
    <row r="420" spans="17:59" ht="13.9" customHeight="1" x14ac:dyDescent="0.3">
      <c r="Q420" s="24"/>
      <c r="R420" s="244"/>
      <c r="S420" s="286" t="s">
        <v>669</v>
      </c>
      <c r="T420" s="287"/>
      <c r="U420" s="288"/>
      <c r="V420" s="288"/>
      <c r="W420" s="288" t="s">
        <v>642</v>
      </c>
      <c r="X420" s="288" t="s">
        <v>642</v>
      </c>
      <c r="Y420" s="289">
        <f>SUM(R80)</f>
        <v>0</v>
      </c>
      <c r="Z420" s="290" t="str">
        <f ca="1">IF(ISERROR(Y420/Y444),"--",Y420/Y444)</f>
        <v>--</v>
      </c>
      <c r="AA420" s="234"/>
      <c r="AB420" s="234"/>
      <c r="AC420" s="234"/>
      <c r="AD420" s="234"/>
      <c r="AN420" s="23"/>
      <c r="AO420" s="23"/>
      <c r="BF420" s="5"/>
      <c r="BG420" s="5"/>
    </row>
    <row r="421" spans="17:59" ht="13.9" customHeight="1" x14ac:dyDescent="0.3">
      <c r="Q421" s="24"/>
      <c r="R421" s="244"/>
      <c r="S421" s="286" t="str">
        <f>B93</f>
        <v>Mahdollisten korvaavien maa-ainesten kuljetukset alueelle</v>
      </c>
      <c r="T421" s="287"/>
      <c r="U421" s="288"/>
      <c r="V421" s="288"/>
      <c r="W421" s="288" t="s">
        <v>730</v>
      </c>
      <c r="X421" s="288" t="s">
        <v>664</v>
      </c>
      <c r="Y421" s="289">
        <f ca="1">SUM(Y422,Y423)</f>
        <v>0</v>
      </c>
      <c r="Z421" s="290" t="str">
        <f ca="1">IF(ISERROR(Y421/Y444),"--",Y421/Y444)</f>
        <v>--</v>
      </c>
      <c r="AA421" s="234"/>
      <c r="AB421" s="234"/>
      <c r="AC421" s="234"/>
      <c r="AD421" s="234"/>
      <c r="AN421" s="23"/>
      <c r="AO421" s="23"/>
      <c r="BF421" s="5"/>
      <c r="BG421" s="5"/>
    </row>
    <row r="422" spans="17:59" ht="13.9" customHeight="1" x14ac:dyDescent="0.3">
      <c r="Q422" s="24"/>
      <c r="R422" s="244"/>
      <c r="S422" s="212" t="s">
        <v>40</v>
      </c>
      <c r="T422" s="234"/>
      <c r="U422" s="234"/>
      <c r="V422" s="234"/>
      <c r="W422" s="234" t="s">
        <v>40</v>
      </c>
      <c r="X422" s="234" t="s">
        <v>664</v>
      </c>
      <c r="Y422" s="235">
        <f>SUM(AB96,AB101,AB106,AB111,AB116)</f>
        <v>0</v>
      </c>
      <c r="Z422" s="284" t="str">
        <f ca="1">IF(ISERROR(Y422/Y444),"--",Y422/Y444)</f>
        <v>--</v>
      </c>
      <c r="AA422" s="234"/>
      <c r="AB422" s="234"/>
      <c r="AC422" s="234"/>
      <c r="AD422" s="234"/>
      <c r="AN422" s="23"/>
      <c r="AO422" s="23"/>
      <c r="BF422" s="5"/>
      <c r="BG422" s="5"/>
    </row>
    <row r="423" spans="17:59" ht="13.9" customHeight="1" x14ac:dyDescent="0.3">
      <c r="Q423" s="24"/>
      <c r="R423" s="244"/>
      <c r="S423" s="212" t="s">
        <v>637</v>
      </c>
      <c r="T423" s="234"/>
      <c r="U423" s="234"/>
      <c r="V423" s="234"/>
      <c r="W423" s="234" t="s">
        <v>40</v>
      </c>
      <c r="X423" s="234" t="s">
        <v>664</v>
      </c>
      <c r="Y423" s="235">
        <f ca="1">SUM(AG96,AG101,AG106,AG111,AG116)</f>
        <v>0</v>
      </c>
      <c r="Z423" s="284" t="str">
        <f ca="1">IF(ISERROR(Y423/Y444),"--",Y423/Y444)</f>
        <v>--</v>
      </c>
      <c r="AA423" s="234"/>
      <c r="AB423" s="234"/>
      <c r="AC423" s="234"/>
      <c r="AD423" s="234"/>
      <c r="AN423" s="23"/>
      <c r="AO423" s="23"/>
      <c r="BF423" s="5"/>
      <c r="BG423" s="5"/>
    </row>
    <row r="424" spans="17:59" ht="13.9" customHeight="1" x14ac:dyDescent="0.3">
      <c r="Q424" s="24"/>
      <c r="R424" s="244"/>
      <c r="S424" s="286" t="str">
        <f>B130</f>
        <v>Käsittelyssä käytettävät kertakäyttöiset kemikaalit, tuotteet tai materiaalit</v>
      </c>
      <c r="T424" s="287"/>
      <c r="U424" s="288"/>
      <c r="V424" s="288"/>
      <c r="W424" s="288" t="s">
        <v>654</v>
      </c>
      <c r="X424" s="288" t="s">
        <v>664</v>
      </c>
      <c r="Y424" s="289">
        <f>SUM(R146,R143,R140,R137,R134)</f>
        <v>0</v>
      </c>
      <c r="Z424" s="290" t="str">
        <f ca="1">IF(ISERROR(Y424/Y444),"--",Y424/Y444)</f>
        <v>--</v>
      </c>
      <c r="AA424" s="234"/>
      <c r="AB424" s="234"/>
      <c r="AC424" s="234"/>
      <c r="AD424" s="234"/>
      <c r="AN424" s="23"/>
      <c r="AO424" s="23"/>
      <c r="BF424" s="5"/>
      <c r="BG424" s="5"/>
    </row>
    <row r="425" spans="17:59" ht="13.9" customHeight="1" x14ac:dyDescent="0.3">
      <c r="Q425" s="24"/>
      <c r="R425" s="244"/>
      <c r="S425" s="286" t="str">
        <f>B148</f>
        <v>Käsittelyssä käytettävien kemikaalien, tuotteiden ja materiaalien kuljetukset alueelle</v>
      </c>
      <c r="T425" s="287"/>
      <c r="U425" s="288"/>
      <c r="V425" s="288"/>
      <c r="W425" s="288" t="s">
        <v>40</v>
      </c>
      <c r="X425" s="288" t="s">
        <v>664</v>
      </c>
      <c r="Y425" s="289">
        <f>SUM(R154,R162,R170,R178,R186)</f>
        <v>0</v>
      </c>
      <c r="Z425" s="290" t="str">
        <f ca="1">IF(ISERROR(Y425/Y444),"--",Y425/Y444)</f>
        <v>--</v>
      </c>
      <c r="AA425" s="234"/>
      <c r="AB425" s="234"/>
      <c r="AC425" s="234"/>
      <c r="AD425" s="234"/>
      <c r="AN425" s="23"/>
      <c r="AO425" s="23"/>
      <c r="BF425" s="5"/>
      <c r="BG425" s="5"/>
    </row>
    <row r="426" spans="17:59" ht="13.9" customHeight="1" x14ac:dyDescent="0.3">
      <c r="Q426" s="24"/>
      <c r="R426" s="244"/>
      <c r="S426" s="286" t="str">
        <f>B194</f>
        <v>Injektointiaineen syöttö</v>
      </c>
      <c r="T426" s="287"/>
      <c r="U426" s="288"/>
      <c r="V426" s="288"/>
      <c r="W426" s="288" t="s">
        <v>656</v>
      </c>
      <c r="X426" s="288" t="s">
        <v>664</v>
      </c>
      <c r="Y426" s="289">
        <f>SUM(R196)</f>
        <v>0</v>
      </c>
      <c r="Z426" s="290" t="str">
        <f ca="1">IF(ISERROR(Y426/Y444),"--",Y426/Y444)</f>
        <v>--</v>
      </c>
      <c r="AA426" s="234"/>
      <c r="AB426" s="234"/>
      <c r="AC426" s="234"/>
      <c r="AD426" s="234"/>
      <c r="AN426" s="23"/>
      <c r="AO426" s="23"/>
      <c r="BF426" s="5"/>
      <c r="BG426" s="5"/>
    </row>
    <row r="427" spans="17:59" ht="13.9" customHeight="1" x14ac:dyDescent="0.3">
      <c r="Q427" s="24"/>
      <c r="R427" s="244"/>
      <c r="S427" s="286" t="str">
        <f>B204</f>
        <v>Prosessia tehostavan mahdollinen kuuman ilman, höyryn tai veden tuottaminen</v>
      </c>
      <c r="T427" s="288"/>
      <c r="U427" s="288"/>
      <c r="V427" s="288"/>
      <c r="W427" s="288" t="s">
        <v>656</v>
      </c>
      <c r="X427" s="288" t="s">
        <v>664</v>
      </c>
      <c r="Y427" s="289">
        <f>SUM(R206)</f>
        <v>0</v>
      </c>
      <c r="Z427" s="290" t="str">
        <f ca="1">IF(ISERROR(Y427/Y444),"--",Y427/Y444)</f>
        <v>--</v>
      </c>
      <c r="AA427" s="234"/>
      <c r="AB427" s="234"/>
      <c r="AC427" s="234"/>
      <c r="AD427" s="234"/>
      <c r="AN427" s="23"/>
      <c r="AO427" s="23"/>
      <c r="BF427" s="5"/>
      <c r="BG427" s="5"/>
    </row>
    <row r="428" spans="17:59" ht="13.9" customHeight="1" x14ac:dyDescent="0.3">
      <c r="Q428" s="24"/>
      <c r="R428" s="244"/>
      <c r="S428" s="286" t="str">
        <f>B214</f>
        <v>Mahdollinen poistokaasujen imu</v>
      </c>
      <c r="T428" s="288"/>
      <c r="U428" s="288"/>
      <c r="V428" s="288"/>
      <c r="W428" s="288" t="s">
        <v>656</v>
      </c>
      <c r="X428" s="288" t="s">
        <v>664</v>
      </c>
      <c r="Y428" s="289">
        <f>SUM(R216)</f>
        <v>0</v>
      </c>
      <c r="Z428" s="290" t="str">
        <f ca="1">IF(ISERROR(Y428/Y444),"--",Y428/Y444)</f>
        <v>--</v>
      </c>
      <c r="AA428" s="234"/>
      <c r="AB428" s="234"/>
      <c r="AC428" s="234"/>
      <c r="AD428" s="234"/>
      <c r="AN428" s="23"/>
      <c r="AO428" s="23"/>
      <c r="BF428" s="5"/>
      <c r="BG428" s="5"/>
    </row>
    <row r="429" spans="17:59" ht="13.9" customHeight="1" x14ac:dyDescent="0.3">
      <c r="Q429" s="24"/>
      <c r="R429" s="244"/>
      <c r="S429" s="286" t="str">
        <f>B224</f>
        <v>Poistokaasujen käsittelyn mahdollinen energiankäyttö</v>
      </c>
      <c r="T429" s="287"/>
      <c r="U429" s="288"/>
      <c r="V429" s="288"/>
      <c r="W429" s="288" t="s">
        <v>656</v>
      </c>
      <c r="X429" s="288" t="s">
        <v>664</v>
      </c>
      <c r="Y429" s="289">
        <f>SUM(R226)</f>
        <v>0</v>
      </c>
      <c r="Z429" s="290" t="str">
        <f ca="1">IF(ISERROR(Y429/Y444),"--",Y429/Y444)</f>
        <v>--</v>
      </c>
      <c r="AA429" s="234"/>
      <c r="AB429" s="234"/>
      <c r="AC429" s="234"/>
      <c r="AD429" s="234"/>
      <c r="AN429" s="23"/>
      <c r="AO429" s="23"/>
      <c r="BF429" s="5"/>
      <c r="BG429" s="5"/>
    </row>
    <row r="430" spans="17:59" ht="13.9" customHeight="1" x14ac:dyDescent="0.3">
      <c r="Q430" s="24"/>
      <c r="R430" s="244"/>
      <c r="S430" s="286" t="s">
        <v>42</v>
      </c>
      <c r="T430" s="288"/>
      <c r="U430" s="288"/>
      <c r="V430" s="288"/>
      <c r="W430" s="288" t="s">
        <v>732</v>
      </c>
      <c r="X430" s="288"/>
      <c r="Y430" s="289">
        <f>SUM(Y431:Y433)</f>
        <v>0</v>
      </c>
      <c r="Z430" s="290" t="str">
        <f ca="1">IF(ISERROR(Y430/Y444),"--",Y430/Y444)</f>
        <v>--</v>
      </c>
      <c r="AA430" s="234"/>
      <c r="AB430" s="234"/>
      <c r="AC430" s="234"/>
      <c r="AD430" s="234"/>
      <c r="AN430" s="23"/>
      <c r="AO430" s="23"/>
      <c r="BF430" s="5"/>
      <c r="BG430" s="5"/>
    </row>
    <row r="431" spans="17:59" ht="13.9" customHeight="1" x14ac:dyDescent="0.3">
      <c r="Q431" s="24"/>
      <c r="R431" s="244"/>
      <c r="S431" s="212" t="s">
        <v>60</v>
      </c>
      <c r="T431" s="234"/>
      <c r="U431" s="234"/>
      <c r="V431" s="234"/>
      <c r="W431" s="234" t="s">
        <v>663</v>
      </c>
      <c r="X431" s="234" t="s">
        <v>348</v>
      </c>
      <c r="Y431" s="235">
        <f>SUM(R236)</f>
        <v>0</v>
      </c>
      <c r="Z431" s="284" t="str">
        <f ca="1">IF(ISERROR(Y431/Y444),"--",Y431/Y444)</f>
        <v>--</v>
      </c>
      <c r="AA431" s="234"/>
      <c r="AB431" s="234"/>
      <c r="AC431" s="234"/>
      <c r="AD431" s="234"/>
      <c r="AN431" s="23"/>
      <c r="AO431" s="23"/>
      <c r="BF431" s="5"/>
      <c r="BG431" s="5"/>
    </row>
    <row r="432" spans="17:59" ht="13.9" customHeight="1" x14ac:dyDescent="0.3">
      <c r="Q432" s="24"/>
      <c r="R432" s="244"/>
      <c r="S432" s="212" t="s">
        <v>640</v>
      </c>
      <c r="T432" s="234"/>
      <c r="U432" s="234"/>
      <c r="V432" s="234"/>
      <c r="W432" s="234" t="s">
        <v>663</v>
      </c>
      <c r="X432" s="234" t="s">
        <v>664</v>
      </c>
      <c r="Y432" s="235">
        <f>SUM(R238)</f>
        <v>0</v>
      </c>
      <c r="Z432" s="284" t="str">
        <f ca="1">IF(ISERROR(Y432/Y444),"--",Y432/Y444)</f>
        <v>--</v>
      </c>
      <c r="AA432" s="234"/>
      <c r="AB432" s="234"/>
      <c r="AC432" s="234"/>
      <c r="AD432" s="234"/>
      <c r="AN432" s="23"/>
      <c r="AO432" s="23"/>
      <c r="BF432" s="5"/>
      <c r="BG432" s="5"/>
    </row>
    <row r="433" spans="17:59" ht="13.9" customHeight="1" x14ac:dyDescent="0.3">
      <c r="Q433" s="24"/>
      <c r="R433" s="244"/>
      <c r="S433" s="212" t="s">
        <v>641</v>
      </c>
      <c r="T433" s="234"/>
      <c r="U433" s="234"/>
      <c r="V433" s="234"/>
      <c r="W433" s="234" t="s">
        <v>663</v>
      </c>
      <c r="X433" s="234" t="s">
        <v>665</v>
      </c>
      <c r="Y433" s="235">
        <f>SUM(R325)</f>
        <v>0</v>
      </c>
      <c r="Z433" s="284" t="str">
        <f ca="1">IF(ISERROR(Y433/Y444),"--",Y433/Y444)</f>
        <v>--</v>
      </c>
      <c r="AA433" s="234"/>
      <c r="AB433" s="234"/>
      <c r="AC433" s="234"/>
      <c r="AD433" s="234"/>
      <c r="AN433" s="23"/>
      <c r="AO433" s="23"/>
      <c r="BF433" s="5"/>
      <c r="BG433" s="5"/>
    </row>
    <row r="434" spans="17:59" ht="13.9" customHeight="1" x14ac:dyDescent="0.3">
      <c r="Q434" s="24"/>
      <c r="R434" s="244"/>
      <c r="S434" s="291" t="str">
        <f>B246</f>
        <v>Rakenteiden purkaminen</v>
      </c>
      <c r="T434" s="288"/>
      <c r="U434" s="288"/>
      <c r="V434" s="288"/>
      <c r="W434" s="288" t="s">
        <v>655</v>
      </c>
      <c r="X434" s="288" t="s">
        <v>385</v>
      </c>
      <c r="Y434" s="289">
        <f>SUM(R249,R253,R257)</f>
        <v>0</v>
      </c>
      <c r="Z434" s="290" t="str">
        <f ca="1">IF(ISERROR(Y434/Y444),"--",Y434/Y444)</f>
        <v>--</v>
      </c>
      <c r="AA434" s="234"/>
      <c r="AB434" s="234"/>
      <c r="AC434" s="234"/>
      <c r="AD434" s="234"/>
      <c r="AN434" s="23"/>
      <c r="AO434" s="23"/>
      <c r="BF434" s="5"/>
      <c r="BG434" s="5"/>
    </row>
    <row r="435" spans="17:59" ht="13.9" customHeight="1" x14ac:dyDescent="0.3">
      <c r="Q435" s="24"/>
      <c r="R435" s="244"/>
      <c r="S435" s="291" t="str">
        <f>B261</f>
        <v>Poistettavien rakenteiden ja puhdistukseen päättämiseen liittyvien materiaalien kuljetukset</v>
      </c>
      <c r="T435" s="288"/>
      <c r="U435" s="288"/>
      <c r="V435" s="288"/>
      <c r="W435" s="288" t="s">
        <v>730</v>
      </c>
      <c r="X435" s="288" t="s">
        <v>385</v>
      </c>
      <c r="Y435" s="289">
        <f ca="1">SUM(Y436:Y437)</f>
        <v>0</v>
      </c>
      <c r="Z435" s="290" t="str">
        <f ca="1">IF(ISERROR(Y435/Y444),"--",Y435/Y444)</f>
        <v>--</v>
      </c>
      <c r="AA435" s="234"/>
      <c r="AB435" s="234"/>
      <c r="AC435" s="234"/>
      <c r="AD435" s="234"/>
      <c r="AN435" s="23"/>
      <c r="AO435" s="23"/>
      <c r="BF435" s="5"/>
      <c r="BG435" s="5"/>
    </row>
    <row r="436" spans="17:59" ht="13.9" customHeight="1" x14ac:dyDescent="0.3">
      <c r="Q436" s="24"/>
      <c r="R436" s="244"/>
      <c r="S436" s="252" t="s">
        <v>40</v>
      </c>
      <c r="T436" s="234"/>
      <c r="U436" s="234"/>
      <c r="V436" s="234"/>
      <c r="W436" s="234" t="s">
        <v>40</v>
      </c>
      <c r="X436" s="234" t="s">
        <v>385</v>
      </c>
      <c r="Y436" s="235">
        <f>SUM(AB264,AB269,AB274,AB279,AB284)</f>
        <v>0</v>
      </c>
      <c r="Z436" s="284" t="str">
        <f ca="1">IF(ISERROR(Y436/Y444),"--",Y436/Y444)</f>
        <v>--</v>
      </c>
      <c r="AA436" s="234"/>
      <c r="AB436" s="234"/>
      <c r="AC436" s="234"/>
      <c r="AD436" s="234"/>
      <c r="AN436" s="23"/>
      <c r="AO436" s="23"/>
      <c r="BF436" s="5"/>
      <c r="BG436" s="5"/>
    </row>
    <row r="437" spans="17:59" ht="13.9" customHeight="1" x14ac:dyDescent="0.3">
      <c r="Q437" s="24"/>
      <c r="R437" s="244"/>
      <c r="S437" s="252" t="s">
        <v>637</v>
      </c>
      <c r="T437" s="234"/>
      <c r="U437" s="234"/>
      <c r="V437" s="234"/>
      <c r="W437" s="234" t="s">
        <v>40</v>
      </c>
      <c r="X437" s="234" t="s">
        <v>385</v>
      </c>
      <c r="Y437" s="235">
        <f ca="1">SUM(AG264,AG269,AG274,AG279,AG284)</f>
        <v>0</v>
      </c>
      <c r="Z437" s="284" t="str">
        <f ca="1">IF(ISERROR(Y437/Y444),"--",Y437/Y444)</f>
        <v>--</v>
      </c>
      <c r="AA437" s="234"/>
      <c r="AB437" s="234"/>
      <c r="AC437" s="234"/>
      <c r="AD437" s="234"/>
      <c r="AN437" s="23"/>
      <c r="AO437" s="23"/>
      <c r="BF437" s="5"/>
      <c r="BG437" s="5"/>
    </row>
    <row r="438" spans="17:59" ht="13.9" customHeight="1" x14ac:dyDescent="0.3">
      <c r="Q438" s="24"/>
      <c r="R438" s="244"/>
      <c r="S438" s="212" t="str">
        <f>B291</f>
        <v>Jätteiden loppusijoitus</v>
      </c>
      <c r="T438" s="234"/>
      <c r="U438" s="234"/>
      <c r="V438" s="234"/>
      <c r="W438" s="234" t="s">
        <v>657</v>
      </c>
      <c r="X438" s="234" t="s">
        <v>385</v>
      </c>
      <c r="Y438" s="235"/>
      <c r="Z438" s="284" t="str">
        <f ca="1">IF(ISERROR(Y438/Y444),"--",Y438/Y444)</f>
        <v>--</v>
      </c>
      <c r="AA438" s="234"/>
      <c r="AB438" s="234"/>
      <c r="AC438" s="234"/>
      <c r="AD438" s="234"/>
      <c r="AN438" s="23"/>
      <c r="AO438" s="23"/>
      <c r="BF438" s="5"/>
      <c r="BG438" s="5"/>
    </row>
    <row r="439" spans="17:59" ht="13.9" customHeight="1" x14ac:dyDescent="0.3">
      <c r="Q439" s="24"/>
      <c r="R439" s="244"/>
      <c r="S439" s="292" t="str">
        <f>B293</f>
        <v>Poistettujen kertakäyttöisten rakenteiden ja materiaalien jatkokäsittely (pl. maa-ainekset)</v>
      </c>
      <c r="T439" s="288"/>
      <c r="U439" s="288"/>
      <c r="V439" s="288"/>
      <c r="W439" s="288" t="s">
        <v>657</v>
      </c>
      <c r="X439" s="288" t="s">
        <v>385</v>
      </c>
      <c r="Y439" s="289">
        <f>SUM(R298,R295,R301,R304,R307,R310)</f>
        <v>0</v>
      </c>
      <c r="Z439" s="290" t="str">
        <f ca="1">IF(ISERROR(Y439/Y444),"--",Y439/Y444)</f>
        <v>--</v>
      </c>
      <c r="AA439" s="234"/>
      <c r="AB439" s="234"/>
      <c r="AC439" s="234"/>
      <c r="AD439" s="234"/>
      <c r="AN439" s="23"/>
      <c r="AO439" s="23"/>
      <c r="BF439" s="5"/>
      <c r="BG439" s="5"/>
    </row>
    <row r="440" spans="17:59" ht="13.9" customHeight="1" x14ac:dyDescent="0.3">
      <c r="Q440" s="24"/>
      <c r="R440" s="244"/>
      <c r="S440" s="292" t="s">
        <v>671</v>
      </c>
      <c r="T440" s="288"/>
      <c r="U440" s="288"/>
      <c r="V440" s="288"/>
      <c r="W440" s="288" t="s">
        <v>642</v>
      </c>
      <c r="X440" s="288" t="s">
        <v>385</v>
      </c>
      <c r="Y440" s="289">
        <f>SUM(R299,R300,R302,R303,R305,R306,R308,R309,R311,R312)</f>
        <v>0</v>
      </c>
      <c r="Z440" s="290" t="str">
        <f ca="1">IF(ISERROR(Y440/Y444),"--",Y440/Y444)</f>
        <v>--</v>
      </c>
      <c r="AA440" s="234"/>
      <c r="AB440" s="234"/>
      <c r="AC440" s="234"/>
      <c r="AD440" s="234"/>
      <c r="AN440" s="23"/>
      <c r="AO440" s="23"/>
      <c r="BF440" s="5"/>
      <c r="BG440" s="5"/>
    </row>
    <row r="441" spans="17:59" ht="13.9" customHeight="1" x14ac:dyDescent="0.3">
      <c r="Q441" s="24"/>
      <c r="R441" s="244"/>
      <c r="S441" s="292" t="str">
        <f>B314</f>
        <v>Poistetun maan jatkokäsittely vastaanottopaikassa</v>
      </c>
      <c r="T441" s="288"/>
      <c r="U441" s="288"/>
      <c r="V441" s="288"/>
      <c r="W441" s="288" t="s">
        <v>657</v>
      </c>
      <c r="X441" s="288" t="s">
        <v>385</v>
      </c>
      <c r="Y441" s="289">
        <f>SUM(R316,R318)</f>
        <v>0</v>
      </c>
      <c r="Z441" s="290" t="str">
        <f ca="1">IF(ISERROR(Y441/Y444),"--",Y441/Y444)</f>
        <v>--</v>
      </c>
      <c r="AA441" s="234"/>
      <c r="AB441" s="234"/>
      <c r="AC441" s="234"/>
      <c r="AD441" s="234"/>
      <c r="AN441" s="23"/>
      <c r="AO441" s="23"/>
      <c r="BF441" s="5"/>
      <c r="BG441" s="5"/>
    </row>
    <row r="442" spans="17:59" ht="13.9" customHeight="1" x14ac:dyDescent="0.3">
      <c r="Q442" s="24"/>
      <c r="R442" s="244"/>
      <c r="S442" s="292" t="s">
        <v>672</v>
      </c>
      <c r="T442" s="288"/>
      <c r="U442" s="288"/>
      <c r="V442" s="288"/>
      <c r="W442" s="288" t="s">
        <v>642</v>
      </c>
      <c r="X442" s="288" t="s">
        <v>385</v>
      </c>
      <c r="Y442" s="289">
        <f>SUM(R319)</f>
        <v>0</v>
      </c>
      <c r="Z442" s="290" t="str">
        <f ca="1">IF(ISERROR(Y442/Y444),"--",Y442/Y444)</f>
        <v>--</v>
      </c>
      <c r="AA442" s="234"/>
      <c r="AB442" s="234"/>
      <c r="AC442" s="234"/>
      <c r="AD442" s="234"/>
      <c r="AN442" s="23"/>
      <c r="AO442" s="23"/>
      <c r="BF442" s="5"/>
      <c r="BG442" s="5"/>
    </row>
    <row r="443" spans="17:59" ht="13.9" customHeight="1" x14ac:dyDescent="0.3">
      <c r="Q443" s="24"/>
      <c r="R443" s="244"/>
      <c r="S443" s="23"/>
      <c r="T443" s="234"/>
      <c r="U443" s="234"/>
      <c r="V443" s="234"/>
      <c r="W443" s="234"/>
      <c r="X443" s="234"/>
      <c r="Y443" s="235"/>
      <c r="Z443" s="284"/>
      <c r="AA443" s="234"/>
      <c r="AB443" s="234"/>
      <c r="AC443" s="234"/>
      <c r="AD443" s="234"/>
      <c r="AN443" s="23"/>
      <c r="AO443" s="23"/>
      <c r="BF443" s="5"/>
      <c r="BG443" s="5"/>
    </row>
    <row r="444" spans="17:59" ht="13.9" customHeight="1" x14ac:dyDescent="0.3">
      <c r="Q444" s="24"/>
      <c r="R444" s="244"/>
      <c r="S444" s="23" t="s">
        <v>643</v>
      </c>
      <c r="T444" s="234"/>
      <c r="U444" s="234"/>
      <c r="V444" s="234"/>
      <c r="W444" s="234"/>
      <c r="X444" s="234"/>
      <c r="Y444" s="293">
        <f ca="1">SUM(Y439,Y441,Y434:Y435,Y424:Y430,Y419:Y421,Y415:Y416,Y410,Y403)</f>
        <v>0</v>
      </c>
      <c r="Z444" s="284">
        <f ca="1">SUM(Z439,Z441,Z434:Z435,Z424:Z430,Z419:Z421,Z415:Z416,Z410,Z403)</f>
        <v>0</v>
      </c>
      <c r="AA444" s="234"/>
      <c r="AB444" s="234"/>
      <c r="AC444" s="234"/>
      <c r="AD444" s="234"/>
      <c r="AN444" s="23"/>
      <c r="AO444" s="23"/>
      <c r="BF444" s="5"/>
      <c r="BG444" s="5"/>
    </row>
    <row r="445" spans="17:59" ht="13.9" customHeight="1" x14ac:dyDescent="0.3">
      <c r="Q445" s="24"/>
      <c r="R445" s="244"/>
      <c r="S445" s="103"/>
      <c r="T445" s="234"/>
      <c r="U445" s="234"/>
      <c r="V445" s="234"/>
      <c r="W445" s="234"/>
      <c r="X445" s="234"/>
      <c r="Y445" s="235"/>
      <c r="Z445" s="234"/>
      <c r="AA445" s="234"/>
      <c r="AB445" s="234"/>
      <c r="AC445" s="234"/>
      <c r="AD445" s="234"/>
      <c r="AN445" s="23"/>
      <c r="AO445" s="23"/>
      <c r="BF445" s="5"/>
      <c r="BG445" s="5"/>
    </row>
    <row r="446" spans="17:59" ht="13.9" customHeight="1" x14ac:dyDescent="0.3">
      <c r="Q446" s="24"/>
      <c r="R446" s="244"/>
      <c r="S446" s="103" t="s">
        <v>659</v>
      </c>
      <c r="T446" s="234"/>
      <c r="U446" s="234"/>
      <c r="V446" s="234"/>
      <c r="W446" s="234"/>
      <c r="X446" s="235"/>
      <c r="Y446" s="235">
        <f>SUM(Y414)</f>
        <v>0</v>
      </c>
      <c r="Z446" s="234"/>
      <c r="AA446" s="234"/>
      <c r="AB446" s="234"/>
      <c r="AC446" s="234"/>
      <c r="AD446" s="234"/>
      <c r="AN446" s="23"/>
      <c r="AO446" s="23"/>
      <c r="BF446" s="5"/>
      <c r="BG446" s="5"/>
    </row>
    <row r="447" spans="17:59" ht="13.9" customHeight="1" x14ac:dyDescent="0.3">
      <c r="Q447" s="24"/>
      <c r="R447" s="244"/>
      <c r="S447" s="103" t="s">
        <v>660</v>
      </c>
      <c r="T447" s="234"/>
      <c r="U447" s="234"/>
      <c r="V447" s="234"/>
      <c r="W447" s="234"/>
      <c r="X447" s="234"/>
      <c r="Y447" s="234" t="s">
        <v>661</v>
      </c>
      <c r="Z447" s="234"/>
      <c r="AA447" s="234"/>
      <c r="AB447" s="234"/>
      <c r="AC447" s="234"/>
      <c r="AD447" s="234"/>
      <c r="AN447" s="23"/>
      <c r="AO447" s="23"/>
      <c r="BF447" s="5"/>
      <c r="BG447" s="5"/>
    </row>
    <row r="448" spans="17:59" ht="13.9" customHeight="1" x14ac:dyDescent="0.3">
      <c r="Q448" s="24"/>
      <c r="R448" s="244"/>
      <c r="S448" s="22"/>
      <c r="T448" s="234"/>
      <c r="U448" s="234"/>
      <c r="V448" s="234"/>
      <c r="W448" s="234"/>
      <c r="X448" s="234"/>
      <c r="Y448" s="234"/>
      <c r="Z448" s="234"/>
      <c r="AA448" s="234"/>
      <c r="AB448" s="234"/>
      <c r="AC448" s="234"/>
      <c r="AD448" s="234"/>
      <c r="AN448" s="23"/>
      <c r="AO448" s="23"/>
      <c r="BF448" s="5"/>
      <c r="BG448" s="5"/>
    </row>
    <row r="449" spans="17:59" ht="13.9" customHeight="1" x14ac:dyDescent="0.3">
      <c r="Q449" s="24"/>
      <c r="R449" s="244"/>
      <c r="S449" s="103" t="s">
        <v>386</v>
      </c>
      <c r="T449" s="234"/>
      <c r="U449" s="234"/>
      <c r="V449" s="234"/>
      <c r="W449" s="234"/>
      <c r="X449" s="234"/>
      <c r="Y449" s="235">
        <f>SUM(Y442,Y440)</f>
        <v>0</v>
      </c>
      <c r="Z449" s="234"/>
      <c r="AA449" s="234"/>
      <c r="AB449" s="234"/>
      <c r="AC449" s="234"/>
      <c r="AD449" s="234"/>
      <c r="AN449" s="23"/>
      <c r="AO449" s="23"/>
      <c r="BF449" s="5"/>
      <c r="BG449" s="5"/>
    </row>
    <row r="450" spans="17:59" ht="13.9" hidden="1" customHeight="1" x14ac:dyDescent="0.3">
      <c r="Q450" s="24"/>
      <c r="R450" s="244"/>
      <c r="S450" s="22"/>
      <c r="T450" s="234"/>
      <c r="U450" s="234"/>
      <c r="V450" s="234"/>
      <c r="W450" s="234"/>
      <c r="X450" s="234"/>
      <c r="Y450" s="234"/>
      <c r="Z450" s="234"/>
      <c r="AA450" s="234"/>
      <c r="AB450" s="234"/>
      <c r="AC450" s="234"/>
      <c r="AD450" s="234"/>
      <c r="AN450" s="23"/>
      <c r="AO450" s="23"/>
      <c r="BF450" s="5"/>
      <c r="BG450" s="5"/>
    </row>
    <row r="451" spans="17:59" ht="13.9" hidden="1" customHeight="1" x14ac:dyDescent="0.3">
      <c r="Q451" s="24"/>
      <c r="R451" s="244"/>
      <c r="S451" s="22"/>
      <c r="T451" s="234"/>
      <c r="U451" s="234"/>
      <c r="V451" s="234"/>
      <c r="W451" s="234"/>
      <c r="X451" s="234"/>
      <c r="Y451" s="234"/>
      <c r="Z451" s="234"/>
      <c r="AA451" s="234"/>
      <c r="AB451" s="234"/>
      <c r="AC451" s="234"/>
      <c r="AD451" s="234"/>
      <c r="AN451" s="23"/>
      <c r="AO451" s="23"/>
      <c r="BF451" s="5"/>
      <c r="BG451" s="5"/>
    </row>
    <row r="452" spans="17:59" ht="13.9" hidden="1" customHeight="1" x14ac:dyDescent="0.3">
      <c r="Q452" s="24"/>
      <c r="R452" s="244"/>
      <c r="S452" s="22"/>
      <c r="T452" s="234"/>
      <c r="U452" s="234"/>
      <c r="V452" s="234"/>
      <c r="W452" s="234"/>
      <c r="X452" s="234"/>
      <c r="Y452" s="234"/>
      <c r="Z452" s="234"/>
      <c r="AA452" s="234"/>
      <c r="AB452" s="234"/>
      <c r="AC452" s="234"/>
      <c r="AD452" s="234"/>
      <c r="AN452" s="23"/>
      <c r="AO452" s="23"/>
      <c r="BF452" s="5"/>
      <c r="BG452" s="5"/>
    </row>
    <row r="453" spans="17:59" ht="13.9" hidden="1" customHeight="1" x14ac:dyDescent="0.3">
      <c r="Q453" s="24"/>
      <c r="R453" s="244"/>
      <c r="S453" s="22"/>
      <c r="T453" s="234"/>
      <c r="U453" s="234"/>
      <c r="V453" s="234"/>
      <c r="W453" s="234"/>
      <c r="X453" s="234"/>
      <c r="Y453" s="234"/>
      <c r="Z453" s="234"/>
      <c r="AA453" s="234"/>
      <c r="AB453" s="234"/>
      <c r="AC453" s="234"/>
      <c r="AD453" s="234"/>
      <c r="AN453" s="23"/>
      <c r="AO453" s="23"/>
      <c r="BF453" s="5"/>
      <c r="BG453" s="5"/>
    </row>
    <row r="454" spans="17:59" ht="13.9" hidden="1" customHeight="1" x14ac:dyDescent="0.3">
      <c r="Q454" s="24"/>
      <c r="R454" s="244"/>
      <c r="S454" s="22"/>
      <c r="T454" s="234"/>
      <c r="U454" s="234"/>
      <c r="V454" s="234"/>
      <c r="W454" s="234"/>
      <c r="X454" s="234"/>
      <c r="Y454" s="234"/>
      <c r="Z454" s="234"/>
      <c r="AA454" s="234"/>
      <c r="AB454" s="234"/>
      <c r="AC454" s="234"/>
      <c r="AD454" s="234"/>
      <c r="AN454" s="23"/>
      <c r="AO454" s="23"/>
      <c r="BF454" s="5"/>
      <c r="BG454" s="5"/>
    </row>
    <row r="455" spans="17:59" ht="13.9" hidden="1" customHeight="1" x14ac:dyDescent="0.3">
      <c r="Q455" s="24"/>
      <c r="R455" s="244"/>
      <c r="S455" s="22"/>
      <c r="T455" s="234"/>
      <c r="U455" s="234"/>
      <c r="V455" s="234"/>
      <c r="W455" s="234"/>
      <c r="X455" s="234"/>
      <c r="Y455" s="234"/>
      <c r="Z455" s="234"/>
      <c r="AA455" s="234"/>
      <c r="AB455" s="234"/>
      <c r="AC455" s="234"/>
      <c r="AD455" s="234"/>
      <c r="AN455" s="23"/>
      <c r="AO455" s="23"/>
      <c r="BF455" s="5"/>
      <c r="BG455" s="5"/>
    </row>
    <row r="456" spans="17:59" ht="13.9" hidden="1" customHeight="1" x14ac:dyDescent="0.3">
      <c r="Q456" s="24"/>
      <c r="R456" s="244"/>
      <c r="S456" s="22"/>
      <c r="T456" s="234"/>
      <c r="U456" s="234"/>
      <c r="V456" s="234"/>
      <c r="W456" s="234"/>
      <c r="X456" s="234"/>
      <c r="Y456" s="234"/>
      <c r="Z456" s="234"/>
      <c r="AA456" s="234"/>
      <c r="AB456" s="234"/>
      <c r="AC456" s="234"/>
      <c r="AD456" s="234"/>
      <c r="AN456" s="23"/>
      <c r="AO456" s="23"/>
      <c r="BF456" s="5"/>
      <c r="BG456" s="5"/>
    </row>
    <row r="457" spans="17:59" ht="13.9" hidden="1" customHeight="1" x14ac:dyDescent="0.3">
      <c r="Q457" s="24"/>
      <c r="R457" s="244"/>
      <c r="S457" s="22"/>
      <c r="T457" s="234"/>
      <c r="U457" s="234"/>
      <c r="V457" s="234"/>
      <c r="W457" s="234"/>
      <c r="X457" s="234"/>
      <c r="Y457" s="234"/>
      <c r="Z457" s="234"/>
      <c r="AA457" s="234"/>
      <c r="AB457" s="234"/>
      <c r="AC457" s="234"/>
      <c r="AD457" s="234"/>
      <c r="AN457" s="23"/>
      <c r="AO457" s="23"/>
      <c r="BF457" s="5"/>
      <c r="BG457" s="5"/>
    </row>
    <row r="458" spans="17:59" ht="13.9" hidden="1" customHeight="1" x14ac:dyDescent="0.3">
      <c r="Q458" s="24"/>
      <c r="R458" s="244"/>
      <c r="S458" s="22"/>
      <c r="T458" s="234"/>
      <c r="U458" s="234"/>
      <c r="V458" s="234"/>
      <c r="W458" s="234"/>
      <c r="X458" s="234"/>
      <c r="Y458" s="234"/>
      <c r="Z458" s="234"/>
      <c r="AA458" s="234"/>
      <c r="AB458" s="234"/>
      <c r="AC458" s="234"/>
      <c r="AD458" s="234"/>
      <c r="AN458" s="23"/>
      <c r="AO458" s="23"/>
      <c r="BF458" s="5"/>
      <c r="BG458" s="5"/>
    </row>
    <row r="459" spans="17:59" ht="13.9" hidden="1" customHeight="1" x14ac:dyDescent="0.3">
      <c r="Q459" s="24"/>
      <c r="R459" s="244"/>
      <c r="S459" s="22"/>
      <c r="T459" s="234"/>
      <c r="U459" s="234"/>
      <c r="V459" s="234"/>
      <c r="W459" s="234"/>
      <c r="X459" s="234"/>
      <c r="Y459" s="234"/>
      <c r="Z459" s="234"/>
      <c r="AA459" s="234"/>
      <c r="AB459" s="234"/>
      <c r="AC459" s="234"/>
      <c r="AD459" s="234"/>
      <c r="AN459" s="23"/>
      <c r="AO459" s="23"/>
      <c r="BF459" s="5"/>
      <c r="BG459" s="5"/>
    </row>
    <row r="460" spans="17:59" ht="13.9" hidden="1" customHeight="1" x14ac:dyDescent="0.3">
      <c r="Q460" s="24"/>
      <c r="R460" s="244"/>
      <c r="S460" s="22"/>
      <c r="T460" s="234"/>
      <c r="U460" s="234"/>
      <c r="V460" s="234"/>
      <c r="W460" s="234"/>
      <c r="X460" s="234"/>
      <c r="Y460" s="234"/>
      <c r="Z460" s="234"/>
      <c r="AA460" s="234"/>
      <c r="AB460" s="234"/>
      <c r="AC460" s="234"/>
      <c r="AD460" s="234"/>
      <c r="AN460" s="23"/>
      <c r="AO460" s="23"/>
      <c r="BF460" s="5"/>
      <c r="BG460" s="5"/>
    </row>
    <row r="461" spans="17:59" ht="13.9" hidden="1" customHeight="1" x14ac:dyDescent="0.3">
      <c r="Q461" s="24"/>
      <c r="R461" s="244"/>
      <c r="S461" s="22"/>
      <c r="T461" s="234"/>
      <c r="U461" s="234"/>
      <c r="V461" s="234"/>
      <c r="W461" s="234"/>
      <c r="X461" s="234"/>
      <c r="Y461" s="234"/>
      <c r="Z461" s="234"/>
      <c r="AA461" s="234"/>
      <c r="AB461" s="234"/>
      <c r="AC461" s="234"/>
      <c r="AD461" s="234"/>
      <c r="AN461" s="23"/>
      <c r="AO461" s="23"/>
      <c r="BF461" s="5"/>
      <c r="BG461" s="5"/>
    </row>
    <row r="462" spans="17:59" ht="13.9" hidden="1" customHeight="1" x14ac:dyDescent="0.3">
      <c r="Q462" s="24"/>
      <c r="R462" s="244"/>
      <c r="S462" s="22"/>
      <c r="T462" s="234"/>
      <c r="U462" s="234"/>
      <c r="V462" s="234"/>
      <c r="W462" s="234"/>
      <c r="X462" s="234"/>
      <c r="Y462" s="234"/>
      <c r="Z462" s="234"/>
      <c r="AA462" s="234"/>
      <c r="AB462" s="234"/>
      <c r="AC462" s="234"/>
      <c r="AD462" s="234"/>
      <c r="AN462" s="23"/>
      <c r="AO462" s="23"/>
      <c r="BF462" s="5"/>
      <c r="BG462" s="5"/>
    </row>
    <row r="463" spans="17:59" ht="13.9" hidden="1" customHeight="1" x14ac:dyDescent="0.3">
      <c r="Q463" s="24"/>
      <c r="R463" s="244"/>
      <c r="S463" s="22"/>
      <c r="T463" s="234"/>
      <c r="U463" s="234"/>
      <c r="V463" s="234"/>
      <c r="W463" s="234"/>
      <c r="X463" s="234"/>
      <c r="Y463" s="234"/>
      <c r="Z463" s="234"/>
      <c r="AA463" s="234"/>
      <c r="AB463" s="234"/>
      <c r="AC463" s="234"/>
      <c r="AD463" s="234"/>
      <c r="AN463" s="23"/>
      <c r="AO463" s="23"/>
      <c r="BF463" s="5"/>
      <c r="BG463" s="5"/>
    </row>
    <row r="464" spans="17:59" ht="13.9" hidden="1" customHeight="1" x14ac:dyDescent="0.3">
      <c r="Q464" s="24"/>
      <c r="R464" s="244"/>
      <c r="S464" s="22"/>
      <c r="T464" s="234"/>
      <c r="U464" s="234"/>
      <c r="V464" s="234"/>
      <c r="W464" s="234"/>
      <c r="X464" s="234"/>
      <c r="Y464" s="234"/>
      <c r="Z464" s="234"/>
      <c r="AA464" s="234"/>
      <c r="AB464" s="234"/>
      <c r="AC464" s="234"/>
      <c r="AD464" s="234"/>
      <c r="AN464" s="23"/>
      <c r="AO464" s="23"/>
      <c r="BF464" s="5"/>
      <c r="BG464" s="5"/>
    </row>
    <row r="465" spans="17:59" ht="13.9" customHeight="1" x14ac:dyDescent="0.3">
      <c r="Q465" s="24"/>
      <c r="R465" s="244"/>
      <c r="S465" s="22"/>
      <c r="T465" s="234"/>
      <c r="U465" s="234"/>
      <c r="V465" s="234"/>
      <c r="W465" s="234"/>
      <c r="X465" s="234"/>
      <c r="Y465" s="234"/>
      <c r="Z465" s="234"/>
      <c r="AA465" s="234"/>
      <c r="AB465" s="234"/>
      <c r="AC465" s="234"/>
      <c r="AD465" s="234"/>
      <c r="AN465" s="23"/>
      <c r="AO465" s="23"/>
      <c r="BF465" s="5"/>
      <c r="BG465" s="5"/>
    </row>
    <row r="466" spans="17:59" ht="13.9" customHeight="1" x14ac:dyDescent="0.3">
      <c r="Q466" s="24"/>
      <c r="R466" s="244"/>
      <c r="S466" s="103" t="s">
        <v>654</v>
      </c>
      <c r="T466" s="234"/>
      <c r="U466" s="235">
        <f>SUMIFS($Y$403:$Y$442,$W$403:$W$442,S466)</f>
        <v>0</v>
      </c>
      <c r="V466" s="284" t="str">
        <f ca="1">IF(ISERROR(U466/$U$472),"--",U466/$U$472)</f>
        <v>--</v>
      </c>
      <c r="W466" s="234"/>
      <c r="X466" s="234"/>
      <c r="Y466" s="234"/>
      <c r="Z466" s="234"/>
      <c r="AA466" s="234"/>
      <c r="AB466" s="234"/>
      <c r="AC466" s="234"/>
      <c r="AD466" s="234"/>
      <c r="AN466" s="23"/>
      <c r="AO466" s="23"/>
      <c r="BF466" s="5"/>
      <c r="BG466" s="5"/>
    </row>
    <row r="467" spans="17:59" ht="13.9" customHeight="1" x14ac:dyDescent="0.3">
      <c r="Q467" s="24"/>
      <c r="R467" s="244"/>
      <c r="S467" s="103" t="s">
        <v>40</v>
      </c>
      <c r="T467" s="234"/>
      <c r="U467" s="235">
        <f t="shared" ref="U467:U471" ca="1" si="0">SUMIFS($Y$403:$Y$442,$W$403:$W$442,S467)</f>
        <v>0</v>
      </c>
      <c r="V467" s="284" t="str">
        <f t="shared" ref="V467:V472" ca="1" si="1">IF(ISERROR(U467/$U$472),"--",U467/$U$472)</f>
        <v>--</v>
      </c>
      <c r="W467" s="234"/>
      <c r="X467" s="234"/>
      <c r="Y467" s="234"/>
      <c r="Z467" s="234"/>
      <c r="AA467" s="234"/>
      <c r="AB467" s="234"/>
      <c r="AC467" s="234"/>
      <c r="AD467" s="234"/>
      <c r="AN467" s="23"/>
      <c r="AO467" s="23"/>
      <c r="BF467" s="5"/>
      <c r="BG467" s="5"/>
    </row>
    <row r="468" spans="17:59" ht="13.9" customHeight="1" x14ac:dyDescent="0.3">
      <c r="Q468" s="24"/>
      <c r="R468" s="244"/>
      <c r="S468" s="103" t="s">
        <v>655</v>
      </c>
      <c r="T468" s="234"/>
      <c r="U468" s="235">
        <f t="shared" si="0"/>
        <v>0</v>
      </c>
      <c r="V468" s="284" t="str">
        <f t="shared" ca="1" si="1"/>
        <v>--</v>
      </c>
      <c r="W468" s="234"/>
      <c r="X468" s="234"/>
      <c r="Y468" s="234"/>
      <c r="Z468" s="234"/>
      <c r="AA468" s="234"/>
      <c r="AB468" s="234"/>
      <c r="AC468" s="234"/>
      <c r="AD468" s="234"/>
      <c r="AN468" s="23"/>
      <c r="AO468" s="23"/>
      <c r="BF468" s="5"/>
      <c r="BG468" s="5"/>
    </row>
    <row r="469" spans="17:59" ht="13.9" customHeight="1" x14ac:dyDescent="0.3">
      <c r="Q469" s="24"/>
      <c r="R469" s="244"/>
      <c r="S469" s="103" t="s">
        <v>656</v>
      </c>
      <c r="T469" s="234"/>
      <c r="U469" s="235">
        <f t="shared" si="0"/>
        <v>0</v>
      </c>
      <c r="V469" s="284" t="str">
        <f t="shared" ca="1" si="1"/>
        <v>--</v>
      </c>
      <c r="W469" s="234"/>
      <c r="X469" s="234"/>
      <c r="Y469" s="234"/>
      <c r="Z469" s="234"/>
      <c r="AA469" s="234"/>
      <c r="AB469" s="234"/>
      <c r="AC469" s="234"/>
      <c r="AD469" s="234"/>
      <c r="AN469" s="23"/>
      <c r="AO469" s="23"/>
      <c r="BF469" s="5"/>
      <c r="BG469" s="5"/>
    </row>
    <row r="470" spans="17:59" ht="13.9" customHeight="1" x14ac:dyDescent="0.3">
      <c r="Q470" s="24"/>
      <c r="R470" s="244"/>
      <c r="S470" s="103" t="s">
        <v>657</v>
      </c>
      <c r="T470" s="234"/>
      <c r="U470" s="235">
        <f t="shared" si="0"/>
        <v>0</v>
      </c>
      <c r="V470" s="284" t="str">
        <f t="shared" ca="1" si="1"/>
        <v>--</v>
      </c>
      <c r="W470" s="234"/>
      <c r="X470" s="234"/>
      <c r="Y470" s="234"/>
      <c r="Z470" s="234"/>
      <c r="AA470" s="234"/>
      <c r="AB470" s="234"/>
      <c r="AC470" s="234"/>
      <c r="AD470" s="234"/>
      <c r="AN470" s="23"/>
      <c r="AO470" s="23"/>
      <c r="BF470" s="5"/>
      <c r="BG470" s="5"/>
    </row>
    <row r="471" spans="17:59" ht="13.9" customHeight="1" x14ac:dyDescent="0.3">
      <c r="Q471" s="24"/>
      <c r="R471" s="244"/>
      <c r="S471" s="103" t="s">
        <v>663</v>
      </c>
      <c r="T471" s="234"/>
      <c r="U471" s="235">
        <f t="shared" si="0"/>
        <v>0</v>
      </c>
      <c r="V471" s="284" t="str">
        <f t="shared" ca="1" si="1"/>
        <v>--</v>
      </c>
      <c r="W471" s="234"/>
      <c r="X471" s="234"/>
      <c r="Y471" s="234"/>
      <c r="Z471" s="234"/>
      <c r="AA471" s="234"/>
      <c r="AB471" s="234"/>
      <c r="AC471" s="234"/>
      <c r="AD471" s="234"/>
      <c r="AN471" s="23"/>
      <c r="AO471" s="23"/>
      <c r="BF471" s="5"/>
      <c r="BG471" s="5"/>
    </row>
    <row r="472" spans="17:59" ht="13.9" customHeight="1" x14ac:dyDescent="0.3">
      <c r="Q472" s="24"/>
      <c r="R472" s="244"/>
      <c r="S472" s="103" t="s">
        <v>667</v>
      </c>
      <c r="T472" s="234"/>
      <c r="U472" s="235">
        <f ca="1">SUM(U466:U471)</f>
        <v>0</v>
      </c>
      <c r="V472" s="284" t="str">
        <f t="shared" ca="1" si="1"/>
        <v>--</v>
      </c>
      <c r="W472" s="234"/>
      <c r="X472" s="234"/>
      <c r="Y472" s="234"/>
      <c r="Z472" s="234"/>
      <c r="AA472" s="234"/>
      <c r="AB472" s="234"/>
      <c r="AC472" s="234"/>
      <c r="AD472" s="234"/>
      <c r="AN472" s="23"/>
      <c r="AO472" s="23"/>
      <c r="BF472" s="5"/>
      <c r="BG472" s="5"/>
    </row>
  </sheetData>
  <mergeCells count="66">
    <mergeCell ref="C126:G126"/>
    <mergeCell ref="C192:D192"/>
    <mergeCell ref="C265:G265"/>
    <mergeCell ref="C270:G270"/>
    <mergeCell ref="C240:D240"/>
    <mergeCell ref="C182:D182"/>
    <mergeCell ref="C183:D183"/>
    <mergeCell ref="C188:G188"/>
    <mergeCell ref="C190:D190"/>
    <mergeCell ref="C191:D191"/>
    <mergeCell ref="B150:H150"/>
    <mergeCell ref="B151:H151"/>
    <mergeCell ref="C155:D155"/>
    <mergeCell ref="C156:G156"/>
    <mergeCell ref="C168:D168"/>
    <mergeCell ref="C180:G180"/>
    <mergeCell ref="C327:D327"/>
    <mergeCell ref="C41:G41"/>
    <mergeCell ref="C49:G49"/>
    <mergeCell ref="C133:D133"/>
    <mergeCell ref="C136:D136"/>
    <mergeCell ref="C139:D139"/>
    <mergeCell ref="C142:D142"/>
    <mergeCell ref="C145:D145"/>
    <mergeCell ref="C184:D184"/>
    <mergeCell ref="C187:D187"/>
    <mergeCell ref="C179:D179"/>
    <mergeCell ref="C174:D174"/>
    <mergeCell ref="C171:D171"/>
    <mergeCell ref="C172:G172"/>
    <mergeCell ref="C175:D175"/>
    <mergeCell ref="C176:D176"/>
    <mergeCell ref="C285:G285"/>
    <mergeCell ref="C163:D163"/>
    <mergeCell ref="C164:G164"/>
    <mergeCell ref="C166:D166"/>
    <mergeCell ref="C167:D167"/>
    <mergeCell ref="C226:D226"/>
    <mergeCell ref="C249:G249"/>
    <mergeCell ref="C253:G253"/>
    <mergeCell ref="C257:G257"/>
    <mergeCell ref="C275:G275"/>
    <mergeCell ref="C280:G280"/>
    <mergeCell ref="C158:D158"/>
    <mergeCell ref="C159:D159"/>
    <mergeCell ref="C160:D160"/>
    <mergeCell ref="C196:D196"/>
    <mergeCell ref="C216:D216"/>
    <mergeCell ref="C206:D206"/>
    <mergeCell ref="C67:G67"/>
    <mergeCell ref="C97:G97"/>
    <mergeCell ref="C72:G72"/>
    <mergeCell ref="C77:G77"/>
    <mergeCell ref="C81:D81"/>
    <mergeCell ref="C102:G102"/>
    <mergeCell ref="C107:G107"/>
    <mergeCell ref="C112:G112"/>
    <mergeCell ref="C117:G117"/>
    <mergeCell ref="C121:D121"/>
    <mergeCell ref="C62:G62"/>
    <mergeCell ref="C12:G12"/>
    <mergeCell ref="C17:G17"/>
    <mergeCell ref="C22:G22"/>
    <mergeCell ref="C27:D27"/>
    <mergeCell ref="C57:G57"/>
    <mergeCell ref="C45:G45"/>
  </mergeCells>
  <conditionalFormatting sqref="G56">
    <cfRule type="expression" dxfId="112" priority="33">
      <formula>(D56="t")</formula>
    </cfRule>
  </conditionalFormatting>
  <conditionalFormatting sqref="G61">
    <cfRule type="expression" dxfId="111" priority="32">
      <formula>(D61="t")</formula>
    </cfRule>
  </conditionalFormatting>
  <conditionalFormatting sqref="G66">
    <cfRule type="expression" dxfId="110" priority="31">
      <formula>(D66="t")</formula>
    </cfRule>
  </conditionalFormatting>
  <conditionalFormatting sqref="G71">
    <cfRule type="expression" dxfId="109" priority="30">
      <formula>(D71="t")</formula>
    </cfRule>
  </conditionalFormatting>
  <conditionalFormatting sqref="G76">
    <cfRule type="expression" dxfId="108" priority="29">
      <formula>(D76="t")</formula>
    </cfRule>
  </conditionalFormatting>
  <conditionalFormatting sqref="G264">
    <cfRule type="expression" dxfId="107" priority="19">
      <formula>(D264="t")</formula>
    </cfRule>
  </conditionalFormatting>
  <conditionalFormatting sqref="G269">
    <cfRule type="expression" dxfId="106" priority="17">
      <formula>(D269="t")</formula>
    </cfRule>
  </conditionalFormatting>
  <conditionalFormatting sqref="G274">
    <cfRule type="expression" dxfId="105" priority="16">
      <formula>(D274="t")</formula>
    </cfRule>
  </conditionalFormatting>
  <conditionalFormatting sqref="G279">
    <cfRule type="expression" dxfId="104" priority="15">
      <formula>(D279="t")</formula>
    </cfRule>
  </conditionalFormatting>
  <conditionalFormatting sqref="G284">
    <cfRule type="expression" dxfId="103" priority="18">
      <formula>(D284="t")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&amp;L&amp;"-,Lihavoitu"&amp;12PIIP-laskentatyökalu&amp;RInjektoinnit
Sivu &amp;P/&amp;N</oddHeader>
    <oddFooter>&amp;L&amp;G&amp;R&amp;G</oddFooter>
  </headerFooter>
  <ignoredErrors>
    <ignoredError sqref="K301 R301 K304 R304 K307 R307 K310 R310"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8" id="{4DF8A263-2DA9-4040-8EC9-9F8C534E274D}">
            <xm:f>$C$49=Pudotusvalikot!$D$68</xm:f>
            <x14:dxf>
              <fill>
                <patternFill>
                  <bgColor theme="2" tint="0.59996337778862885"/>
                </patternFill>
              </fill>
            </x14:dxf>
          </x14:cfRule>
          <xm:sqref>L41:L42 L45:L46 L49:L50 L241</xm:sqref>
        </x14:conditionalFormatting>
        <x14:conditionalFormatting xmlns:xm="http://schemas.microsoft.com/office/excel/2006/main">
          <x14:cfRule type="expression" priority="1" id="{9BA3C854-8F8F-456B-BAAF-8F4FFABEF794}">
            <xm:f>$C$41=Pudotusvalikot!$D$68</xm:f>
            <x14:dxf>
              <fill>
                <patternFill>
                  <bgColor theme="2" tint="0.59996337778862885"/>
                </patternFill>
              </fill>
            </x14:dxf>
          </x14:cfRule>
          <xm:sqref>L125</xm:sqref>
        </x14:conditionalFormatting>
        <x14:conditionalFormatting xmlns:xm="http://schemas.microsoft.com/office/excel/2006/main">
          <x14:cfRule type="expression" priority="68" id="{F8951FDE-E2E2-43AF-80C7-29792187565E}">
            <xm:f>#REF!=Pudotusvalikot!$D$68</xm:f>
            <x14:dxf>
              <fill>
                <patternFill>
                  <bgColor theme="2" tint="0.59996337778862885"/>
                </patternFill>
              </fill>
            </x14:dxf>
          </x14:cfRule>
          <xm:sqref>L196</xm:sqref>
        </x14:conditionalFormatting>
        <x14:conditionalFormatting xmlns:xm="http://schemas.microsoft.com/office/excel/2006/main">
          <x14:cfRule type="expression" priority="28" id="{C39B32A1-8C35-4B5F-89BA-1BA782CDF694}">
            <xm:f>#REF!=Pudotusvalikot!$D$68</xm:f>
            <x14:dxf>
              <fill>
                <patternFill>
                  <bgColor theme="2" tint="0.59996337778862885"/>
                </patternFill>
              </fill>
            </x14:dxf>
          </x14:cfRule>
          <xm:sqref>L197</xm:sqref>
        </x14:conditionalFormatting>
        <x14:conditionalFormatting xmlns:xm="http://schemas.microsoft.com/office/excel/2006/main">
          <x14:cfRule type="expression" priority="84" id="{D3B7FAEB-1A41-462D-893E-797B3640F57D}">
            <xm:f>#REF!=Pudotusvalikot!$D$68</xm:f>
            <x14:dxf>
              <fill>
                <patternFill>
                  <bgColor theme="2" tint="0.59996337778862885"/>
                </patternFill>
              </fill>
            </x14:dxf>
          </x14:cfRule>
          <xm:sqref>L202</xm:sqref>
        </x14:conditionalFormatting>
        <x14:conditionalFormatting xmlns:xm="http://schemas.microsoft.com/office/excel/2006/main">
          <x14:cfRule type="expression" priority="26" id="{FF6A8953-735A-40E2-9829-E7956E635885}">
            <xm:f>#REF!=Pudotusvalikot!$D$68</xm:f>
            <x14:dxf>
              <fill>
                <patternFill>
                  <bgColor theme="2" tint="0.59996337778862885"/>
                </patternFill>
              </fill>
            </x14:dxf>
          </x14:cfRule>
          <xm:sqref>L206:L207</xm:sqref>
        </x14:conditionalFormatting>
        <x14:conditionalFormatting xmlns:xm="http://schemas.microsoft.com/office/excel/2006/main">
          <x14:cfRule type="expression" priority="58" id="{F4BF145C-F66A-423F-B6AE-925CA3E70FF0}">
            <xm:f>#REF!=Pudotusvalikot!$D$68</xm:f>
            <x14:dxf>
              <fill>
                <patternFill>
                  <bgColor theme="2" tint="0.59996337778862885"/>
                </patternFill>
              </fill>
            </x14:dxf>
          </x14:cfRule>
          <xm:sqref>L212</xm:sqref>
        </x14:conditionalFormatting>
        <x14:conditionalFormatting xmlns:xm="http://schemas.microsoft.com/office/excel/2006/main">
          <x14:cfRule type="expression" priority="24" id="{7700F9C7-DCF1-4248-9062-DC99A1BD31A5}">
            <xm:f>#REF!=Pudotusvalikot!$D$68</xm:f>
            <x14:dxf>
              <fill>
                <patternFill>
                  <bgColor theme="2" tint="0.59996337778862885"/>
                </patternFill>
              </fill>
            </x14:dxf>
          </x14:cfRule>
          <xm:sqref>L216:L217</xm:sqref>
        </x14:conditionalFormatting>
        <x14:conditionalFormatting xmlns:xm="http://schemas.microsoft.com/office/excel/2006/main">
          <x14:cfRule type="expression" priority="25" id="{1A9A91A7-622F-4969-9D6E-3AC245B5F5EF}">
            <xm:f>#REF!=Pudotusvalikot!$D$68</xm:f>
            <x14:dxf>
              <fill>
                <patternFill>
                  <bgColor theme="2" tint="0.59996337778862885"/>
                </patternFill>
              </fill>
            </x14:dxf>
          </x14:cfRule>
          <xm:sqref>L222</xm:sqref>
        </x14:conditionalFormatting>
        <x14:conditionalFormatting xmlns:xm="http://schemas.microsoft.com/office/excel/2006/main">
          <x14:cfRule type="expression" priority="22" id="{638E4367-71AB-4783-A475-988E348A9B0D}">
            <xm:f>#REF!=Pudotusvalikot!$D$68</xm:f>
            <x14:dxf>
              <fill>
                <patternFill>
                  <bgColor theme="2" tint="0.59996337778862885"/>
                </patternFill>
              </fill>
            </x14:dxf>
          </x14:cfRule>
          <xm:sqref>L226:L227</xm:sqref>
        </x14:conditionalFormatting>
        <x14:conditionalFormatting xmlns:xm="http://schemas.microsoft.com/office/excel/2006/main">
          <x14:cfRule type="expression" priority="23" id="{35384144-0EDE-4161-B7EE-F355A05A2A9B}">
            <xm:f>#REF!=Pudotusvalikot!$D$68</xm:f>
            <x14:dxf>
              <fill>
                <patternFill>
                  <bgColor theme="2" tint="0.59996337778862885"/>
                </patternFill>
              </fill>
            </x14:dxf>
          </x14:cfRule>
          <xm:sqref>L232</xm:sqref>
        </x14:conditionalFormatting>
        <x14:conditionalFormatting xmlns:xm="http://schemas.microsoft.com/office/excel/2006/main">
          <x14:cfRule type="expression" priority="21" id="{25A36A7C-D0FD-4101-A0A3-23D772F68EDA}">
            <xm:f>$C$48=Pudotusvalikot!$D$68</xm:f>
            <x14:dxf>
              <fill>
                <patternFill>
                  <bgColor theme="2" tint="0.59996337778862885"/>
                </patternFill>
              </fill>
            </x14:dxf>
          </x14:cfRule>
          <xm:sqref>L233</xm:sqref>
        </x14:conditionalFormatting>
        <x14:conditionalFormatting xmlns:xm="http://schemas.microsoft.com/office/excel/2006/main">
          <x14:cfRule type="expression" priority="3" id="{60628AAA-82BA-481B-957C-FE2F826DB81C}">
            <xm:f>$C$56=Pudotusvalikot!$D$68</xm:f>
            <x14:dxf>
              <fill>
                <patternFill>
                  <bgColor theme="2" tint="0.59996337778862885"/>
                </patternFill>
              </fill>
            </x14:dxf>
          </x14:cfRule>
          <xm:sqref>L236 L318:L319 L327</xm:sqref>
        </x14:conditionalFormatting>
        <x14:conditionalFormatting xmlns:xm="http://schemas.microsoft.com/office/excel/2006/main">
          <x14:cfRule type="expression" priority="4" id="{A943D192-A04F-4119-A265-10BED82F142E}">
            <xm:f>$C$56=Pudotusvalikot!$D$68</xm:f>
            <x14:dxf>
              <fill>
                <patternFill>
                  <bgColor theme="2" tint="0.59996337778862885"/>
                </patternFill>
              </fill>
            </x14:dxf>
          </x14:cfRule>
          <xm:sqref>L238</xm:sqref>
        </x14:conditionalFormatting>
        <x14:conditionalFormatting xmlns:xm="http://schemas.microsoft.com/office/excel/2006/main">
          <x14:cfRule type="expression" priority="13" id="{3533A10B-FD02-476C-B10A-161B714CCDE9}">
            <xm:f>$C$56=Pudotusvalikot!$D$68</xm:f>
            <x14:dxf>
              <fill>
                <patternFill>
                  <bgColor theme="2" tint="0.59996337778862885"/>
                </patternFill>
              </fill>
            </x14:dxf>
          </x14:cfRule>
          <xm:sqref>L240</xm:sqref>
        </x14:conditionalFormatting>
        <x14:conditionalFormatting xmlns:xm="http://schemas.microsoft.com/office/excel/2006/main">
          <x14:cfRule type="expression" priority="20" id="{EF8F7E6C-0628-48A7-B7CA-5C10A679E404}">
            <xm:f>#REF!=Pudotusvalikot!$D$68</xm:f>
            <x14:dxf>
              <fill>
                <patternFill>
                  <bgColor theme="2" tint="0.59996337778862885"/>
                </patternFill>
              </fill>
            </x14:dxf>
          </x14:cfRule>
          <xm:sqref>L249 L253 L257</xm:sqref>
        </x14:conditionalFormatting>
        <x14:conditionalFormatting xmlns:xm="http://schemas.microsoft.com/office/excel/2006/main">
          <x14:cfRule type="expression" priority="12" id="{AF224744-C90C-4B09-8307-D101C77A7451}">
            <xm:f>$C$56=Pudotusvalikot!$D$68</xm:f>
            <x14:dxf>
              <fill>
                <patternFill>
                  <bgColor theme="2" tint="0.59996337778862885"/>
                </patternFill>
              </fill>
            </x14:dxf>
          </x14:cfRule>
          <xm:sqref>L295</xm:sqref>
        </x14:conditionalFormatting>
        <x14:conditionalFormatting xmlns:xm="http://schemas.microsoft.com/office/excel/2006/main">
          <x14:cfRule type="expression" priority="6" id="{D07D63E7-0EDB-499B-9EF9-0618522CBD73}">
            <xm:f>$C$56=Pudotusvalikot!$D$68</xm:f>
            <x14:dxf>
              <fill>
                <patternFill>
                  <bgColor theme="2" tint="0.59996337778862885"/>
                </patternFill>
              </fill>
            </x14:dxf>
          </x14:cfRule>
          <xm:sqref>L298:L312</xm:sqref>
        </x14:conditionalFormatting>
        <x14:conditionalFormatting xmlns:xm="http://schemas.microsoft.com/office/excel/2006/main">
          <x14:cfRule type="expression" priority="11" id="{E42F731F-6F93-40C2-984E-2F4FFE4029C1}">
            <xm:f>$C$56=Pudotusvalikot!$D$68</xm:f>
            <x14:dxf>
              <fill>
                <patternFill>
                  <bgColor theme="2" tint="0.59996337778862885"/>
                </patternFill>
              </fill>
            </x14:dxf>
          </x14:cfRule>
          <xm:sqref>L316</xm:sqref>
        </x14:conditionalFormatting>
        <x14:conditionalFormatting xmlns:xm="http://schemas.microsoft.com/office/excel/2006/main">
          <x14:cfRule type="expression" priority="2" id="{4380C59D-9ECE-4314-87BC-40581AD8BC5C}">
            <xm:f>$C$56=Pudotusvalikot!$D$68</xm:f>
            <x14:dxf>
              <fill>
                <patternFill>
                  <bgColor theme="2" tint="0.59996337778862885"/>
                </patternFill>
              </fill>
            </x14:dxf>
          </x14:cfRule>
          <xm:sqref>L325</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87350B03-8C96-4D45-BC33-BE0E5B1DC820}">
          <x14:formula1>
            <xm:f>Pudotusvalikot!$T$3:$T$7</xm:f>
          </x14:formula1>
          <xm:sqref>D198 D218 D208 D228</xm:sqref>
        </x14:dataValidation>
        <x14:dataValidation type="list" allowBlank="1" showInputMessage="1" showErrorMessage="1" xr:uid="{2BCF14D0-F410-43DE-BD57-C387CC1557DF}">
          <x14:formula1>
            <xm:f>Pudotusvalikot!$R$3:$R$6</xm:f>
          </x14:formula1>
          <xm:sqref>C216 C206 C196 C226</xm:sqref>
        </x14:dataValidation>
        <x14:dataValidation type="list" allowBlank="1" showInputMessage="1" showErrorMessage="1" xr:uid="{00EBFE2C-5C57-4CCD-8678-59F4D57AEF1A}">
          <x14:formula1>
            <xm:f>Pudotusvalikot!$D$14:$D$65</xm:f>
          </x14:formula1>
          <xm:sqref>C117 C265 C270 C275 C280 C285 C102 C107 C112 C62 C67 C72 C77 C57 C188 C156 C180 C97 C22 C17 C12 C172 C164</xm:sqref>
        </x14:dataValidation>
        <x14:dataValidation type="list" errorStyle="warning" allowBlank="1" showInputMessage="1" showErrorMessage="1" xr:uid="{4DFDD2CF-4902-40A2-ABD0-9101564615A1}">
          <x14:formula1>
            <xm:f>Pudotusvalikot!$B$3:$B$5</xm:f>
          </x14:formula1>
          <xm:sqref>C81 C121 C27 C288:C290</xm:sqref>
        </x14:dataValidation>
        <x14:dataValidation type="list" allowBlank="1" showInputMessage="1" showErrorMessage="1" xr:uid="{3F74CE9C-CBD3-4E90-B2D0-EC5E4F1C8847}">
          <x14:formula1>
            <xm:f>Pudotusvalikot!$D$67:$D$92</xm:f>
          </x14:formula1>
          <xm:sqref>C253 C257 C249</xm:sqref>
        </x14:dataValidation>
        <x14:dataValidation type="list" allowBlank="1" showInputMessage="1" showErrorMessage="1" xr:uid="{9860FF58-FEEF-4666-86D2-2C37C4C00B7D}">
          <x14:formula1>
            <xm:f>Pudotusvalikot!$D$67:$D$106</xm:f>
          </x14:formula1>
          <xm:sqref>C41 C126 C49 C45</xm:sqref>
        </x14:dataValidation>
        <x14:dataValidation type="list" allowBlank="1" showInputMessage="1" showErrorMessage="1" xr:uid="{0CF9DB52-FA84-4798-9772-8268C8153A02}">
          <x14:formula1>
            <xm:f>Pudotusvalikot!$N$3:$N$7</xm:f>
          </x14:formula1>
          <xm:sqref>C158:C160 C166:C168 C182:C184 C174:C176 C190:C192</xm:sqref>
        </x14:dataValidation>
        <x14:dataValidation type="list" allowBlank="1" showInputMessage="1" showErrorMessage="1" xr:uid="{77FE5450-E859-4162-B031-562F21AD0CF8}">
          <x14:formula1>
            <xm:f>Pudotusvalikot!$F$3:$F$7</xm:f>
          </x14:formula1>
          <xm:sqref>D61 D71 D76 D279 D269 D284 D66 D56 F91 D91 D85:F89 D274 D264</xm:sqref>
        </x14:dataValidation>
        <x14:dataValidation type="list" allowBlank="1" showInputMessage="1" showErrorMessage="1" xr:uid="{267125F4-EE50-46EC-89F3-E77AB68EFE4B}">
          <x14:formula1>
            <xm:f>Pudotusvalikot!$V$3:$V$9</xm:f>
          </x14:formula1>
          <xm:sqref>C13 C18 C23 C32 C34 C36 C42 C46 C50 C58 C63 C68 C73 C78 C98 C103 C108 C113 C118 C157 C165 C173 C181 C189 C250 C254 C258 C266 C271 C276 C281 C286 C317 C296 C127</xm:sqref>
        </x14:dataValidation>
        <x14:dataValidation type="list" allowBlank="1" showInputMessage="1" showErrorMessage="1" xr:uid="{3CB45793-E5CB-4D56-B742-17F898B88A32}">
          <x14:formula1>
            <xm:f>Pudotusvalikot!$X$3:$X$7</xm:f>
          </x14:formula1>
          <xm:sqref>D200</xm:sqref>
        </x14:dataValidation>
        <x14:dataValidation type="list" allowBlank="1" showInputMessage="1" showErrorMessage="1" xr:uid="{13F54F15-1C06-4D7E-BEF1-DD117A0144C5}">
          <x14:formula1>
            <xm:f>Pudotusvalikot!$J$3:$J$11</xm:f>
          </x14:formula1>
          <xm:sqref>C240 C327</xm:sqref>
        </x14:dataValidation>
        <x14:dataValidation type="list" allowBlank="1" showInputMessage="1" showErrorMessage="1" xr:uid="{4249CFF3-75D8-46F0-975A-AC5FC4909F0A}">
          <x14:formula1>
            <xm:f>Pudotusvalikot!$H$3:$H$8</xm:f>
          </x14:formula1>
          <xm:sqref>D128</xm:sqref>
        </x14:dataValidation>
        <x14:dataValidation type="list" errorStyle="warning" allowBlank="1" showInputMessage="1" showErrorMessage="1" xr:uid="{9A826175-E25E-40B0-B403-7C59EB6B7A0C}">
          <x14:formula1>
            <xm:f>Pudotusvalikot!$H$14:$H$28</xm:f>
          </x14:formula1>
          <xm:sqref>C133:D133 C145:D145 C142:D142 C139:D139 C136:D136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B7E7-26F4-4586-80E1-A220540673A7}">
  <sheetPr codeName="Sheet6">
    <tabColor theme="5" tint="0.79998168889431442"/>
  </sheetPr>
  <dimension ref="B1:BG471"/>
  <sheetViews>
    <sheetView showRuler="0" zoomScaleNormal="100" workbookViewId="0">
      <pane xSplit="2" ySplit="2" topLeftCell="C3" activePane="bottomRight" state="frozen"/>
      <selection pane="topRight" activeCell="C1" sqref="C1"/>
      <selection pane="bottomLeft" activeCell="A3" sqref="A3"/>
      <selection pane="bottomRight" activeCell="C4" sqref="C4"/>
    </sheetView>
  </sheetViews>
  <sheetFormatPr defaultColWidth="9" defaultRowHeight="13.9" customHeight="1" x14ac:dyDescent="0.3"/>
  <cols>
    <col min="1" max="1" width="2.75" style="5" customWidth="1"/>
    <col min="2" max="2" width="88.83203125" style="5" customWidth="1"/>
    <col min="3" max="3" width="20.75" style="13" customWidth="1"/>
    <col min="4" max="4" width="12.75" style="5" bestFit="1" customWidth="1"/>
    <col min="5" max="5" width="2.25" style="5" customWidth="1"/>
    <col min="6" max="6" width="3.75" style="5" customWidth="1"/>
    <col min="7" max="7" width="20.75" style="13" customWidth="1"/>
    <col min="8" max="8" width="8.75" style="5" customWidth="1"/>
    <col min="9" max="9" width="11.33203125" style="5" customWidth="1"/>
    <col min="10" max="10" width="60.75" style="15" customWidth="1"/>
    <col min="11" max="12" width="15.75" style="13" customWidth="1"/>
    <col min="13" max="13" width="11" style="13" bestFit="1" customWidth="1"/>
    <col min="14" max="14" width="2.58203125" style="13" customWidth="1"/>
    <col min="15" max="15" width="80.58203125" style="13" customWidth="1"/>
    <col min="16" max="16" width="2.75" style="5" customWidth="1"/>
    <col min="17" max="17" width="2.75" style="142" customWidth="1"/>
    <col min="18" max="18" width="15.75" style="249" customWidth="1"/>
    <col min="19" max="19" width="15.75" style="250" customWidth="1"/>
    <col min="20" max="20" width="26.83203125" style="251" bestFit="1" customWidth="1"/>
    <col min="21" max="36" width="25.75" style="234" customWidth="1"/>
    <col min="37" max="37" width="25.75" style="22" customWidth="1"/>
    <col min="38" max="39" width="15.75" style="22" customWidth="1"/>
    <col min="40" max="41" width="9" style="22"/>
    <col min="42" max="59" width="9" style="23"/>
    <col min="60" max="16384" width="9" style="5"/>
  </cols>
  <sheetData>
    <row r="1" spans="2:59" s="31" customFormat="1" ht="15.5" x14ac:dyDescent="0.3">
      <c r="C1" s="34"/>
      <c r="G1" s="34"/>
      <c r="J1" s="33"/>
      <c r="K1" s="34"/>
      <c r="L1" s="34"/>
      <c r="M1" s="34"/>
      <c r="N1" s="34"/>
      <c r="O1" s="34"/>
      <c r="Q1" s="133"/>
      <c r="R1" s="243"/>
      <c r="S1" s="225"/>
      <c r="T1" s="174"/>
      <c r="U1" s="44"/>
      <c r="V1" s="44"/>
      <c r="W1" s="44"/>
      <c r="X1" s="44"/>
      <c r="Y1" s="44"/>
      <c r="Z1" s="44"/>
      <c r="AA1" s="44"/>
      <c r="AB1" s="44"/>
      <c r="AC1" s="44"/>
      <c r="AD1" s="44"/>
      <c r="AE1" s="44"/>
      <c r="AF1" s="44"/>
      <c r="AG1" s="44"/>
      <c r="AH1" s="44"/>
      <c r="AI1" s="44"/>
      <c r="AJ1" s="44"/>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3">
      <c r="B2" s="8" t="s">
        <v>54</v>
      </c>
      <c r="C2" s="375"/>
      <c r="D2" s="376"/>
      <c r="E2" s="377"/>
      <c r="F2" s="378" t="s">
        <v>643</v>
      </c>
      <c r="G2" s="379" t="str">
        <f>IF(ISNUMBER(C4),U471,"")</f>
        <v/>
      </c>
      <c r="H2" s="380" t="s">
        <v>172</v>
      </c>
      <c r="J2" s="26"/>
      <c r="K2" s="27"/>
      <c r="L2" s="27"/>
      <c r="M2" s="27"/>
      <c r="N2" s="27"/>
      <c r="O2" s="27"/>
      <c r="Q2" s="139"/>
      <c r="R2" s="245"/>
      <c r="S2" s="246"/>
      <c r="T2" s="247"/>
      <c r="U2" s="213"/>
      <c r="V2" s="213"/>
      <c r="W2" s="213"/>
      <c r="X2" s="213"/>
      <c r="Y2" s="213"/>
      <c r="Z2" s="213"/>
      <c r="AA2" s="213"/>
      <c r="AB2" s="213"/>
      <c r="AC2" s="213"/>
      <c r="AD2" s="213"/>
      <c r="AE2" s="213"/>
      <c r="AF2" s="213"/>
      <c r="AG2" s="213"/>
      <c r="AH2" s="213"/>
      <c r="AI2" s="213"/>
      <c r="AJ2" s="213"/>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5" x14ac:dyDescent="0.3">
      <c r="C3" s="34"/>
      <c r="G3" s="34"/>
      <c r="J3" s="33"/>
      <c r="K3" s="34"/>
      <c r="L3" s="34"/>
      <c r="M3" s="34"/>
      <c r="N3" s="34"/>
      <c r="O3" s="34"/>
      <c r="Q3" s="133"/>
      <c r="R3" s="243"/>
      <c r="S3" s="225"/>
      <c r="T3" s="174"/>
      <c r="U3" s="44"/>
      <c r="V3" s="44"/>
      <c r="W3" s="44"/>
      <c r="X3" s="44"/>
      <c r="Y3" s="44"/>
      <c r="Z3" s="44"/>
      <c r="AA3" s="44"/>
      <c r="AB3" s="44"/>
      <c r="AC3" s="44"/>
      <c r="AD3" s="44"/>
      <c r="AE3" s="44"/>
      <c r="AF3" s="44"/>
      <c r="AG3" s="44"/>
      <c r="AH3" s="44"/>
      <c r="AI3" s="44"/>
      <c r="AJ3" s="44"/>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5" customHeight="1" x14ac:dyDescent="0.3">
      <c r="B4" s="81" t="s">
        <v>749</v>
      </c>
      <c r="C4" s="154"/>
      <c r="D4" s="84" t="str">
        <f>IF(ISBLANK(C4),"%","")</f>
        <v>%</v>
      </c>
      <c r="G4" s="175" t="str">
        <f>IF(ISNUMBER(C4),C4*'Kohdetiedot ja yhteenveto'!D12,"")</f>
        <v/>
      </c>
      <c r="H4" s="31" t="s">
        <v>175</v>
      </c>
      <c r="J4" s="33"/>
      <c r="K4" s="34"/>
      <c r="L4" s="34"/>
      <c r="M4" s="34"/>
      <c r="N4" s="34"/>
      <c r="O4" s="34"/>
      <c r="Q4" s="133"/>
      <c r="R4" s="243"/>
      <c r="S4" s="225"/>
      <c r="T4" s="174"/>
      <c r="U4" s="44"/>
      <c r="V4" s="44"/>
      <c r="W4" s="44"/>
      <c r="X4" s="44"/>
      <c r="Y4" s="44"/>
      <c r="Z4" s="44"/>
      <c r="AA4" s="44"/>
      <c r="AB4" s="44"/>
      <c r="AC4" s="44"/>
      <c r="AD4" s="44"/>
      <c r="AE4" s="44"/>
      <c r="AF4" s="44"/>
      <c r="AG4" s="44"/>
      <c r="AH4" s="44"/>
      <c r="AI4" s="44"/>
      <c r="AJ4" s="44"/>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15.5" x14ac:dyDescent="0.3">
      <c r="C5" s="34"/>
      <c r="D5" s="84"/>
      <c r="G5" s="34"/>
      <c r="H5" s="84"/>
      <c r="J5" s="33"/>
      <c r="K5" s="34"/>
      <c r="L5" s="34"/>
      <c r="M5" s="84"/>
      <c r="N5" s="84"/>
      <c r="O5" s="84"/>
      <c r="Q5" s="35"/>
      <c r="R5" s="106"/>
      <c r="S5" s="44"/>
      <c r="T5" s="44"/>
      <c r="U5" s="44"/>
      <c r="V5" s="44"/>
      <c r="W5" s="44"/>
      <c r="X5" s="44"/>
      <c r="Y5" s="44"/>
      <c r="Z5" s="44"/>
      <c r="AA5" s="44"/>
      <c r="AB5" s="44"/>
      <c r="AC5" s="44"/>
      <c r="AD5" s="44"/>
      <c r="AE5" s="44"/>
      <c r="AF5" s="44"/>
      <c r="AG5" s="44"/>
      <c r="AH5" s="44"/>
      <c r="AI5" s="44"/>
      <c r="AJ5" s="44"/>
      <c r="AK5" s="36"/>
      <c r="AL5" s="36"/>
      <c r="AM5" s="36"/>
      <c r="AN5" s="37"/>
      <c r="AO5" s="37"/>
      <c r="AP5" s="37"/>
      <c r="AQ5" s="37"/>
      <c r="AR5" s="37"/>
      <c r="AS5" s="37"/>
      <c r="AT5" s="37"/>
      <c r="AU5" s="37"/>
      <c r="AV5" s="37"/>
      <c r="AW5" s="37"/>
      <c r="AX5" s="37"/>
      <c r="AY5" s="37"/>
      <c r="AZ5" s="37"/>
      <c r="BA5" s="37"/>
      <c r="BB5" s="37"/>
      <c r="BC5" s="37"/>
      <c r="BD5" s="37"/>
      <c r="BE5" s="37"/>
    </row>
    <row r="6" spans="2:59" s="196" customFormat="1" ht="23" x14ac:dyDescent="0.3">
      <c r="B6" s="197" t="s">
        <v>606</v>
      </c>
      <c r="C6" s="198"/>
      <c r="D6" s="199"/>
      <c r="G6" s="198"/>
      <c r="H6" s="199"/>
      <c r="J6" s="200"/>
      <c r="P6" s="201"/>
      <c r="Q6" s="202"/>
      <c r="R6" s="237"/>
      <c r="S6" s="248"/>
      <c r="T6" s="214"/>
      <c r="U6" s="215"/>
      <c r="V6" s="215"/>
      <c r="W6" s="215"/>
      <c r="X6" s="215"/>
      <c r="Y6" s="215"/>
      <c r="Z6" s="215"/>
      <c r="AA6" s="215"/>
      <c r="AB6" s="215"/>
      <c r="AC6" s="215"/>
      <c r="AD6" s="215"/>
      <c r="AE6" s="215"/>
      <c r="AF6" s="215"/>
      <c r="AG6" s="215"/>
      <c r="AH6" s="215"/>
      <c r="AI6" s="215"/>
      <c r="AJ6" s="21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5" x14ac:dyDescent="0.3">
      <c r="C7" s="34"/>
      <c r="D7" s="84"/>
      <c r="G7" s="34"/>
      <c r="H7" s="84"/>
      <c r="J7" s="33"/>
      <c r="K7" s="34"/>
      <c r="L7" s="34"/>
      <c r="M7" s="84"/>
      <c r="N7" s="84"/>
      <c r="O7" s="84"/>
      <c r="Q7" s="35"/>
      <c r="R7" s="106"/>
      <c r="S7" s="44"/>
      <c r="T7" s="44"/>
      <c r="U7" s="44"/>
      <c r="V7" s="44"/>
      <c r="W7" s="44"/>
      <c r="X7" s="44"/>
      <c r="Y7" s="44"/>
      <c r="Z7" s="44"/>
      <c r="AA7" s="44"/>
      <c r="AB7" s="44"/>
      <c r="AC7" s="44"/>
      <c r="AD7" s="44"/>
      <c r="AE7" s="44"/>
      <c r="AF7" s="44"/>
      <c r="AG7" s="44"/>
      <c r="AH7" s="44"/>
      <c r="AI7" s="44"/>
      <c r="AJ7" s="44"/>
      <c r="AK7" s="36"/>
      <c r="AL7" s="36"/>
      <c r="AM7" s="36"/>
      <c r="AN7" s="37"/>
      <c r="AO7" s="37"/>
      <c r="AP7" s="37"/>
      <c r="AQ7" s="37"/>
      <c r="AR7" s="37"/>
      <c r="AS7" s="37"/>
      <c r="AT7" s="37"/>
      <c r="AU7" s="37"/>
      <c r="AV7" s="37"/>
      <c r="AW7" s="37"/>
      <c r="AX7" s="37"/>
      <c r="AY7" s="37"/>
      <c r="AZ7" s="37"/>
      <c r="BA7" s="37"/>
      <c r="BB7" s="37"/>
      <c r="BC7" s="37"/>
      <c r="BD7" s="37"/>
      <c r="BE7" s="37"/>
    </row>
    <row r="8" spans="2:59" s="298" customFormat="1" ht="18" x14ac:dyDescent="0.3">
      <c r="B8" s="295" t="s">
        <v>483</v>
      </c>
      <c r="C8" s="296"/>
      <c r="D8" s="297"/>
      <c r="G8" s="296"/>
      <c r="H8" s="297"/>
      <c r="K8" s="296"/>
      <c r="L8" s="296"/>
      <c r="M8" s="297"/>
      <c r="N8" s="297"/>
      <c r="O8" s="300"/>
      <c r="P8" s="320"/>
      <c r="Q8" s="304"/>
      <c r="S8" s="303"/>
      <c r="T8" s="303"/>
      <c r="U8" s="303"/>
      <c r="V8" s="303"/>
      <c r="W8" s="303"/>
      <c r="X8" s="303"/>
      <c r="Y8" s="303"/>
      <c r="Z8" s="303"/>
      <c r="AA8" s="303"/>
      <c r="AB8" s="303"/>
      <c r="AC8" s="303"/>
      <c r="AD8" s="303"/>
      <c r="AE8" s="303"/>
      <c r="AF8" s="303"/>
      <c r="AG8" s="303"/>
      <c r="AH8" s="303"/>
      <c r="AI8" s="303"/>
      <c r="AJ8" s="303"/>
      <c r="AK8" s="303"/>
      <c r="AL8" s="303"/>
      <c r="AM8" s="303"/>
      <c r="AN8" s="304"/>
      <c r="AO8" s="304"/>
      <c r="AP8" s="304"/>
      <c r="AQ8" s="304"/>
      <c r="AR8" s="304"/>
      <c r="AS8" s="304"/>
      <c r="AT8" s="304"/>
      <c r="AU8" s="304"/>
      <c r="AV8" s="304"/>
      <c r="AW8" s="304"/>
      <c r="AX8" s="304"/>
      <c r="AY8" s="304"/>
      <c r="AZ8" s="304"/>
      <c r="BA8" s="304"/>
      <c r="BB8" s="304"/>
      <c r="BC8" s="304"/>
      <c r="BD8" s="304"/>
      <c r="BE8" s="304"/>
    </row>
    <row r="9" spans="2:59" s="31" customFormat="1" ht="15.5" x14ac:dyDescent="0.3">
      <c r="B9" s="9"/>
      <c r="C9" s="34"/>
      <c r="D9" s="84"/>
      <c r="G9" s="34"/>
      <c r="H9" s="84"/>
      <c r="K9" s="38"/>
      <c r="L9" s="38"/>
      <c r="M9" s="84"/>
      <c r="N9" s="84"/>
      <c r="O9" s="255" t="s">
        <v>644</v>
      </c>
      <c r="Q9" s="35"/>
      <c r="R9" s="44" t="s">
        <v>350</v>
      </c>
      <c r="S9" s="44"/>
      <c r="T9" s="44"/>
      <c r="U9" s="44"/>
      <c r="V9" s="44"/>
      <c r="W9" s="44"/>
      <c r="X9" s="44"/>
      <c r="Y9" s="44"/>
      <c r="Z9" s="44"/>
      <c r="AA9" s="44"/>
      <c r="AB9" s="44"/>
      <c r="AC9" s="44"/>
      <c r="AD9" s="44"/>
      <c r="AE9" s="44"/>
      <c r="AF9" s="44"/>
      <c r="AG9" s="44"/>
      <c r="AH9" s="44"/>
      <c r="AI9" s="44"/>
      <c r="AJ9" s="44"/>
      <c r="AK9" s="36"/>
      <c r="AL9" s="36"/>
      <c r="AM9" s="36"/>
      <c r="AN9" s="37"/>
      <c r="AO9" s="37"/>
      <c r="AP9" s="37"/>
      <c r="AQ9" s="37"/>
      <c r="AR9" s="37"/>
      <c r="AS9" s="37"/>
      <c r="AT9" s="37"/>
      <c r="AU9" s="37"/>
      <c r="AV9" s="37"/>
      <c r="AW9" s="37"/>
      <c r="AX9" s="37"/>
      <c r="AY9" s="37"/>
      <c r="AZ9" s="37"/>
      <c r="BA9" s="37"/>
      <c r="BB9" s="37"/>
      <c r="BC9" s="37"/>
      <c r="BD9" s="37"/>
      <c r="BE9" s="37"/>
    </row>
    <row r="10" spans="2:59" s="31" customFormat="1" ht="15.5" x14ac:dyDescent="0.3">
      <c r="B10" s="172" t="s">
        <v>438</v>
      </c>
      <c r="C10" s="34"/>
      <c r="D10" s="84"/>
      <c r="G10" s="34"/>
      <c r="H10" s="84"/>
      <c r="K10" s="38" t="s">
        <v>329</v>
      </c>
      <c r="L10" s="38" t="s">
        <v>201</v>
      </c>
      <c r="M10" s="84"/>
      <c r="N10" s="84"/>
      <c r="O10" s="256"/>
      <c r="Q10" s="35"/>
      <c r="R10" s="44" t="s">
        <v>172</v>
      </c>
      <c r="S10" s="44"/>
      <c r="T10" s="44" t="s">
        <v>446</v>
      </c>
      <c r="U10" s="44" t="s">
        <v>445</v>
      </c>
      <c r="V10" s="44" t="s">
        <v>443</v>
      </c>
      <c r="W10" s="44" t="s">
        <v>444</v>
      </c>
      <c r="X10" s="44" t="s">
        <v>447</v>
      </c>
      <c r="Y10" s="44" t="s">
        <v>449</v>
      </c>
      <c r="Z10" s="44" t="s">
        <v>448</v>
      </c>
      <c r="AA10" s="44" t="s">
        <v>202</v>
      </c>
      <c r="AB10" s="44" t="s">
        <v>380</v>
      </c>
      <c r="AC10" s="44" t="s">
        <v>450</v>
      </c>
      <c r="AD10" s="44" t="s">
        <v>381</v>
      </c>
      <c r="AE10" s="44" t="s">
        <v>451</v>
      </c>
      <c r="AF10" s="44" t="s">
        <v>452</v>
      </c>
      <c r="AG10" s="44" t="s">
        <v>638</v>
      </c>
      <c r="AH10" s="44" t="s">
        <v>206</v>
      </c>
      <c r="AI10" s="44" t="s">
        <v>278</v>
      </c>
      <c r="AJ10" s="44" t="s">
        <v>207</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46.5" x14ac:dyDescent="0.3">
      <c r="B11" s="170" t="s">
        <v>504</v>
      </c>
      <c r="C11" s="392" t="s">
        <v>93</v>
      </c>
      <c r="D11" s="393"/>
      <c r="E11" s="393"/>
      <c r="F11" s="393"/>
      <c r="G11" s="394"/>
      <c r="H11" s="169"/>
      <c r="J11" s="173" t="s">
        <v>441</v>
      </c>
      <c r="K11" s="96">
        <f>IF(ISNUMBER(L11),L11,IF(OR(C11=Pudotusvalikot!$D$14,C11=Pudotusvalikot!$D$15),Kalusto!$G$96,VLOOKUP(C11,Kalusto!$C$44:$G$83,5,FALSE))*IF(OR(C12=Pudotusvalikot!$V$3,C12=Pudotusvalikot!$V$4),Muut!$E$38,IF(C12=Pudotusvalikot!$V$5,Muut!$E$39,IF(C12=Pudotusvalikot!$V$6,Muut!$E$40,Muut!$E$41))))</f>
        <v>5.7709999999999997E-2</v>
      </c>
      <c r="L11" s="40"/>
      <c r="M11" s="41" t="s">
        <v>200</v>
      </c>
      <c r="N11" s="41"/>
      <c r="O11" s="265"/>
      <c r="Q11" s="47"/>
      <c r="R11" s="218" t="str">
        <f ca="1">IF(AND(NOT(ISNUMBER(AB11)),NOT(ISNUMBER(AG11))),"",IF(ISNUMBER(AB11),AB11,0)+IF(ISNUMBER(AG11),AG11,0))</f>
        <v/>
      </c>
      <c r="S11" s="232" t="s">
        <v>484</v>
      </c>
      <c r="T11" s="216" t="str">
        <f>IF(ISNUMBER(L11),"Kohdetieto",IF(OR(C11=Pudotusvalikot!$D$14,C11=Pudotusvalikot!$D$15),Kalusto!$I$96,VLOOKUP(C11,Kalusto!$C$44:$L$83,7,FALSE)))</f>
        <v>Puoliperävaunu</v>
      </c>
      <c r="U11" s="216">
        <f>IF(ISNUMBER(L11),"Kohdetieto",IF(OR(C11=Pudotusvalikot!$D$14,C11=Pudotusvalikot!$D$15),Kalusto!$J$96,VLOOKUP(C11,Kalusto!$C$44:$L$83,8,FALSE)))</f>
        <v>40</v>
      </c>
      <c r="V11" s="217">
        <f>IF(ISNUMBER(L11),"Kohdetieto",IF(OR(C11=Pudotusvalikot!$D$14,C11=Pudotusvalikot!$D$15),Kalusto!$K$96,VLOOKUP(C11,Kalusto!$C$44:$L$83,9,FALSE)))</f>
        <v>0.8</v>
      </c>
      <c r="W11" s="217" t="str">
        <f>IF(ISNUMBER(L11),"Kohdetieto",IF(OR(C11=Pudotusvalikot!$D$14,C11=Pudotusvalikot!$D$15),Kalusto!$L$96,VLOOKUP(C11,Kalusto!$C$44:$L$83,10,FALSE)))</f>
        <v>maantieajo</v>
      </c>
      <c r="X11" s="218" t="str">
        <f>IF(ISBLANK(C13),"",C13)</f>
        <v/>
      </c>
      <c r="Y11" s="216" t="str">
        <f>IF(ISNUMBER(C14),C14,"")</f>
        <v/>
      </c>
      <c r="Z11" s="218" t="str">
        <f>IF(ISNUMBER(X11/(U11*V11)*Y11),X11/(U11*V11)*Y11,"")</f>
        <v/>
      </c>
      <c r="AA11" s="219">
        <f>IF(ISNUMBER(L11),L11,K11)</f>
        <v>5.7709999999999997E-2</v>
      </c>
      <c r="AB11" s="218" t="str">
        <f>IF(ISNUMBER(Y11*X11*K11),Y11*X11*K11,"")</f>
        <v/>
      </c>
      <c r="AC11" s="218" t="str">
        <f>IF(C26="Kyllä",Y11,"")</f>
        <v/>
      </c>
      <c r="AD11" s="218" t="str">
        <f>IF(C26="Kyllä",IF(ISNUMBER(X11/(U11*V11)),CEILING(X11/(U11*V11),1),""),"")</f>
        <v/>
      </c>
      <c r="AE11" s="218" t="str">
        <f>IF(ISNUMBER(AD11*AC11),AD11*AC11,"")</f>
        <v/>
      </c>
      <c r="AF11" s="219">
        <f ca="1">IF(ISNUMBER(L13),L13,K13)</f>
        <v>0.81247999999999998</v>
      </c>
      <c r="AG11" s="218" t="str">
        <f ca="1">IF(ISNUMBER(AC11*AD11*K13),AC11*AD11*K13,"")</f>
        <v/>
      </c>
      <c r="AH11" s="216">
        <f>IF(T11="Jakelukuorma-auto",0,IF(T11="Maansiirtoauto",4,IF(T11="Puoliperävaunu",6,8)))</f>
        <v>6</v>
      </c>
      <c r="AI11" s="216">
        <f>IF(AND(T11="Jakelukuorma-auto",U11=6),0,IF(AND(T11="Jakelukuorma-auto",U11=15),2,0))</f>
        <v>0</v>
      </c>
      <c r="AJ11" s="216">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5" x14ac:dyDescent="0.3">
      <c r="B12" s="186" t="s">
        <v>506</v>
      </c>
      <c r="C12" s="160" t="s">
        <v>242</v>
      </c>
      <c r="D12" s="34"/>
      <c r="E12" s="34"/>
      <c r="F12" s="34"/>
      <c r="G12" s="34"/>
      <c r="H12" s="59"/>
      <c r="J12" s="173"/>
      <c r="K12" s="173"/>
      <c r="L12" s="173"/>
      <c r="M12" s="41"/>
      <c r="N12" s="41"/>
      <c r="O12" s="265"/>
      <c r="Q12" s="47"/>
      <c r="R12" s="44"/>
      <c r="S12" s="44"/>
      <c r="T12" s="44"/>
      <c r="U12" s="44"/>
      <c r="V12" s="220"/>
      <c r="W12" s="220"/>
      <c r="X12" s="221"/>
      <c r="Y12" s="44"/>
      <c r="Z12" s="221"/>
      <c r="AA12" s="222"/>
      <c r="AB12" s="221"/>
      <c r="AC12" s="221"/>
      <c r="AD12" s="221"/>
      <c r="AE12" s="221"/>
      <c r="AF12" s="222"/>
      <c r="AG12" s="221"/>
      <c r="AH12" s="44"/>
      <c r="AI12" s="44"/>
      <c r="AJ12" s="44"/>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5" x14ac:dyDescent="0.3">
      <c r="B13" s="45" t="s">
        <v>573</v>
      </c>
      <c r="C13" s="156"/>
      <c r="D13" s="84" t="s">
        <v>52</v>
      </c>
      <c r="G13" s="34"/>
      <c r="H13" s="84"/>
      <c r="J13" s="33" t="s">
        <v>442</v>
      </c>
      <c r="K13" s="96">
        <f ca="1">IF(ISNUMBER(L13),L13,IF($C$160="Ei","",IF(AND($C$160="Kyllä",OR(C11=Pudotusvalikot!$D$14,C11=Pudotusvalikot!$D$15)),Kalusto!$G$97,OFFSET(Kalusto!$G$85,AH11+AJ11+AI11,0,1,1)))*IF(OR(C12=Pudotusvalikot!$V$3,C12=Pudotusvalikot!$V$4),Muut!$E$38,IF(C12=Pudotusvalikot!$V$5,Muut!$E$39,IF(C12=Pudotusvalikot!$V$6,Muut!$E$40,Muut!$E$41))))</f>
        <v>0.81247999999999998</v>
      </c>
      <c r="L13" s="40"/>
      <c r="M13" s="41" t="s">
        <v>204</v>
      </c>
      <c r="N13" s="41"/>
      <c r="O13" s="265"/>
      <c r="P13" s="34"/>
      <c r="Q13" s="52"/>
      <c r="R13" s="218" t="str">
        <f ca="1">IF(ISNUMBER(R11),R11,"")</f>
        <v/>
      </c>
      <c r="S13" s="232" t="s">
        <v>485</v>
      </c>
      <c r="T13" s="44"/>
      <c r="U13" s="44"/>
      <c r="V13" s="44"/>
      <c r="W13" s="44"/>
      <c r="X13" s="44"/>
      <c r="Y13" s="44"/>
      <c r="Z13" s="44"/>
      <c r="AA13" s="44"/>
      <c r="AB13" s="44"/>
      <c r="AC13" s="44"/>
      <c r="AD13" s="44"/>
      <c r="AE13" s="44"/>
      <c r="AF13" s="44"/>
      <c r="AG13" s="44"/>
      <c r="AH13" s="44"/>
      <c r="AI13" s="44"/>
      <c r="AJ13" s="44"/>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5" x14ac:dyDescent="0.3">
      <c r="B14" s="45" t="s">
        <v>574</v>
      </c>
      <c r="C14" s="156"/>
      <c r="D14" s="84" t="s">
        <v>5</v>
      </c>
      <c r="G14" s="34"/>
      <c r="H14" s="84"/>
      <c r="I14" s="53"/>
      <c r="J14" s="53"/>
      <c r="K14" s="34"/>
      <c r="L14" s="34"/>
      <c r="M14" s="84"/>
      <c r="N14" s="84"/>
      <c r="O14" s="100"/>
      <c r="P14" s="53"/>
      <c r="Q14" s="52"/>
      <c r="R14" s="44" t="s">
        <v>350</v>
      </c>
      <c r="S14" s="174"/>
      <c r="T14" s="44"/>
      <c r="U14" s="44"/>
      <c r="V14" s="44"/>
      <c r="W14" s="44"/>
      <c r="X14" s="44"/>
      <c r="Y14" s="44"/>
      <c r="Z14" s="44"/>
      <c r="AA14" s="44"/>
      <c r="AB14" s="44"/>
      <c r="AC14" s="44"/>
      <c r="AD14" s="44"/>
      <c r="AE14" s="44"/>
      <c r="AF14" s="44"/>
      <c r="AG14" s="44"/>
      <c r="AH14" s="44"/>
      <c r="AI14" s="44"/>
      <c r="AJ14" s="44"/>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5" x14ac:dyDescent="0.3">
      <c r="B15" s="172" t="s">
        <v>439</v>
      </c>
      <c r="C15" s="34"/>
      <c r="D15" s="84"/>
      <c r="G15" s="34"/>
      <c r="H15" s="84"/>
      <c r="J15" s="33"/>
      <c r="K15" s="38" t="s">
        <v>329</v>
      </c>
      <c r="L15" s="38" t="s">
        <v>201</v>
      </c>
      <c r="M15" s="84"/>
      <c r="N15" s="84"/>
      <c r="O15" s="100"/>
      <c r="P15" s="34"/>
      <c r="Q15" s="35"/>
      <c r="R15" s="44" t="s">
        <v>172</v>
      </c>
      <c r="S15" s="44"/>
      <c r="T15" s="44" t="s">
        <v>446</v>
      </c>
      <c r="U15" s="44" t="s">
        <v>445</v>
      </c>
      <c r="V15" s="44" t="s">
        <v>443</v>
      </c>
      <c r="W15" s="44" t="s">
        <v>444</v>
      </c>
      <c r="X15" s="44" t="s">
        <v>447</v>
      </c>
      <c r="Y15" s="44" t="s">
        <v>449</v>
      </c>
      <c r="Z15" s="44" t="s">
        <v>448</v>
      </c>
      <c r="AA15" s="44" t="s">
        <v>202</v>
      </c>
      <c r="AB15" s="44" t="s">
        <v>380</v>
      </c>
      <c r="AC15" s="44" t="s">
        <v>450</v>
      </c>
      <c r="AD15" s="44" t="s">
        <v>381</v>
      </c>
      <c r="AE15" s="44" t="s">
        <v>451</v>
      </c>
      <c r="AF15" s="44" t="s">
        <v>452</v>
      </c>
      <c r="AG15" s="44" t="s">
        <v>638</v>
      </c>
      <c r="AH15" s="44" t="s">
        <v>206</v>
      </c>
      <c r="AI15" s="44" t="s">
        <v>278</v>
      </c>
      <c r="AJ15" s="44" t="s">
        <v>207</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46.5" x14ac:dyDescent="0.3">
      <c r="B16" s="170" t="s">
        <v>504</v>
      </c>
      <c r="C16" s="392" t="s">
        <v>93</v>
      </c>
      <c r="D16" s="393"/>
      <c r="E16" s="393"/>
      <c r="F16" s="393"/>
      <c r="G16" s="394"/>
      <c r="H16" s="169"/>
      <c r="J16" s="173" t="s">
        <v>441</v>
      </c>
      <c r="K16" s="96">
        <f>IF(ISNUMBER(L16),L16,IF(OR(C16=Pudotusvalikot!$D$14,C16=Pudotusvalikot!$D$15),Kalusto!$G$96,VLOOKUP(C16,Kalusto!$C$44:$G$83,5,FALSE))*IF(OR(C17=Pudotusvalikot!$V$3,C17=Pudotusvalikot!$V$4),Muut!$E$38,IF(C17=Pudotusvalikot!$V$5,Muut!$E$39,IF(C17=Pudotusvalikot!$V$6,Muut!$E$40,Muut!$E$41))))</f>
        <v>5.7709999999999997E-2</v>
      </c>
      <c r="L16" s="40"/>
      <c r="M16" s="41" t="s">
        <v>200</v>
      </c>
      <c r="N16" s="41"/>
      <c r="O16" s="265"/>
      <c r="Q16" s="47"/>
      <c r="R16" s="218" t="str">
        <f ca="1">IF(AND(NOT(ISNUMBER(AB16)),NOT(ISNUMBER(AG16))),"",IF(ISNUMBER(AB16),AB16,0)+IF(ISNUMBER(AG16),AG16,0))</f>
        <v/>
      </c>
      <c r="S16" s="232" t="s">
        <v>484</v>
      </c>
      <c r="T16" s="216" t="str">
        <f>IF(ISNUMBER(L16),"Kohdetieto",IF(OR(C16=Pudotusvalikot!$D$14,C16=Pudotusvalikot!$D$15),Kalusto!$I$96,VLOOKUP(C16,Kalusto!$C$44:$L$83,7,FALSE)))</f>
        <v>Puoliperävaunu</v>
      </c>
      <c r="U16" s="216">
        <f>IF(ISNUMBER(L16),"Kohdetieto",IF(OR(C16=Pudotusvalikot!$D$14,C16=Pudotusvalikot!$D$15),Kalusto!$J$96,VLOOKUP(C16,Kalusto!$C$44:$L$83,8,FALSE)))</f>
        <v>40</v>
      </c>
      <c r="V16" s="217">
        <f>IF(ISNUMBER(L16),"Kohdetieto",IF(OR(C16=Pudotusvalikot!$D$14,C16=Pudotusvalikot!$D$15),Kalusto!$K$96,VLOOKUP(C16,Kalusto!$C$44:$L$83,9,FALSE)))</f>
        <v>0.8</v>
      </c>
      <c r="W16" s="217" t="str">
        <f>IF(ISNUMBER(L16),"Kohdetieto",IF(OR(C16=Pudotusvalikot!$D$14,C16=Pudotusvalikot!$D$15),Kalusto!$L$96,VLOOKUP(C16,Kalusto!$C$44:$L$83,10,FALSE)))</f>
        <v>maantieajo</v>
      </c>
      <c r="X16" s="218" t="str">
        <f>IF(ISBLANK(C18),"",C18)</f>
        <v/>
      </c>
      <c r="Y16" s="216" t="str">
        <f>IF(ISNUMBER(C19),C19,"")</f>
        <v/>
      </c>
      <c r="Z16" s="218" t="str">
        <f>IF(ISNUMBER(X16/(U16*V16)*Y16),X16/(U16*V16)*Y16,"")</f>
        <v/>
      </c>
      <c r="AA16" s="219">
        <f>IF(ISNUMBER(L16),L16,K16)</f>
        <v>5.7709999999999997E-2</v>
      </c>
      <c r="AB16" s="218" t="str">
        <f>IF(ISNUMBER(Y16*X16*K16),Y16*X16*K16,"")</f>
        <v/>
      </c>
      <c r="AC16" s="218" t="str">
        <f>IF(C31="Kyllä",Y16,"")</f>
        <v/>
      </c>
      <c r="AD16" s="218" t="str">
        <f>IF(C31="Kyllä",IF(ISNUMBER(X16/(U16*V16)),CEILING(X16/(U16*V16),1),""),"")</f>
        <v/>
      </c>
      <c r="AE16" s="218" t="str">
        <f>IF(ISNUMBER(AD16*AC16),AD16*AC16,"")</f>
        <v/>
      </c>
      <c r="AF16" s="219">
        <f ca="1">IF(ISNUMBER(L18),L18,K18)</f>
        <v>0.81247999999999998</v>
      </c>
      <c r="AG16" s="218" t="str">
        <f ca="1">IF(ISNUMBER(AC16*AD16*K18),AC16*AD16*K18,"")</f>
        <v/>
      </c>
      <c r="AH16" s="216">
        <f>IF(T16="Jakelukuorma-auto",0,IF(T16="Maansiirtoauto",4,IF(T16="Puoliperävaunu",6,8)))</f>
        <v>6</v>
      </c>
      <c r="AI16" s="216">
        <f>IF(AND(T16="Jakelukuorma-auto",U16=6),0,IF(AND(T16="Jakelukuorma-auto",U16=15),2,0))</f>
        <v>0</v>
      </c>
      <c r="AJ16" s="216">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5" x14ac:dyDescent="0.3">
      <c r="B17" s="186" t="s">
        <v>506</v>
      </c>
      <c r="C17" s="160" t="s">
        <v>242</v>
      </c>
      <c r="D17" s="34"/>
      <c r="E17" s="34"/>
      <c r="F17" s="34"/>
      <c r="G17" s="34"/>
      <c r="H17" s="59"/>
      <c r="J17" s="173"/>
      <c r="K17" s="173"/>
      <c r="L17" s="173"/>
      <c r="M17" s="41"/>
      <c r="N17" s="41"/>
      <c r="O17" s="265"/>
      <c r="Q17" s="47"/>
      <c r="R17" s="44"/>
      <c r="S17" s="44"/>
      <c r="T17" s="44"/>
      <c r="U17" s="44"/>
      <c r="V17" s="220"/>
      <c r="W17" s="220"/>
      <c r="X17" s="221"/>
      <c r="Y17" s="44"/>
      <c r="Z17" s="221"/>
      <c r="AA17" s="222"/>
      <c r="AB17" s="221"/>
      <c r="AC17" s="221"/>
      <c r="AD17" s="221"/>
      <c r="AE17" s="221"/>
      <c r="AF17" s="222"/>
      <c r="AG17" s="221"/>
      <c r="AH17" s="44"/>
      <c r="AI17" s="44"/>
      <c r="AJ17" s="44"/>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5" x14ac:dyDescent="0.3">
      <c r="B18" s="45" t="s">
        <v>573</v>
      </c>
      <c r="C18" s="157"/>
      <c r="D18" s="84" t="s">
        <v>52</v>
      </c>
      <c r="G18" s="34"/>
      <c r="H18" s="84"/>
      <c r="J18" s="33" t="s">
        <v>442</v>
      </c>
      <c r="K18" s="96">
        <f ca="1">IF(ISNUMBER(L18),L18,IF($C$160="Ei","",IF(AND($C$160="Kyllä",OR(C16=Pudotusvalikot!$D$14,C16=Pudotusvalikot!$D$15)),Kalusto!$G$97,OFFSET(Kalusto!$G$85,AH16+AJ16+AI16,0,1,1)))*IF(OR(C17=Pudotusvalikot!$V$3,C17=Pudotusvalikot!$V$4),Muut!$E$38,IF(C17=Pudotusvalikot!$V$5,Muut!$E$39,IF(C17=Pudotusvalikot!$V$6,Muut!$E$40,Muut!$E$41))))</f>
        <v>0.81247999999999998</v>
      </c>
      <c r="L18" s="40"/>
      <c r="M18" s="41" t="s">
        <v>204</v>
      </c>
      <c r="N18" s="41"/>
      <c r="O18" s="265"/>
      <c r="P18" s="34"/>
      <c r="Q18" s="52"/>
      <c r="R18" s="218" t="str">
        <f ca="1">IF(ISNUMBER(R16),R16,"")</f>
        <v/>
      </c>
      <c r="S18" s="232" t="s">
        <v>485</v>
      </c>
      <c r="T18" s="44"/>
      <c r="U18" s="44"/>
      <c r="V18" s="44"/>
      <c r="W18" s="44"/>
      <c r="X18" s="44"/>
      <c r="Y18" s="44"/>
      <c r="Z18" s="44"/>
      <c r="AA18" s="44"/>
      <c r="AB18" s="44"/>
      <c r="AC18" s="44"/>
      <c r="AD18" s="44"/>
      <c r="AE18" s="44"/>
      <c r="AF18" s="44"/>
      <c r="AG18" s="44"/>
      <c r="AH18" s="44"/>
      <c r="AI18" s="44"/>
      <c r="AJ18" s="44"/>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5" x14ac:dyDescent="0.3">
      <c r="B19" s="45" t="s">
        <v>574</v>
      </c>
      <c r="C19" s="158"/>
      <c r="D19" s="84" t="s">
        <v>5</v>
      </c>
      <c r="G19" s="34"/>
      <c r="H19" s="84"/>
      <c r="I19" s="53"/>
      <c r="J19" s="53"/>
      <c r="K19" s="34"/>
      <c r="L19" s="34"/>
      <c r="M19" s="84"/>
      <c r="N19" s="84"/>
      <c r="O19" s="100"/>
      <c r="P19" s="53"/>
      <c r="Q19" s="52"/>
      <c r="R19" s="44" t="s">
        <v>350</v>
      </c>
      <c r="S19" s="44"/>
      <c r="T19" s="44"/>
      <c r="U19" s="44"/>
      <c r="V19" s="44"/>
      <c r="W19" s="44"/>
      <c r="X19" s="44"/>
      <c r="Y19" s="44"/>
      <c r="Z19" s="44"/>
      <c r="AA19" s="44"/>
      <c r="AB19" s="44"/>
      <c r="AC19" s="44"/>
      <c r="AD19" s="44"/>
      <c r="AE19" s="44"/>
      <c r="AF19" s="44"/>
      <c r="AG19" s="44"/>
      <c r="AH19" s="44"/>
      <c r="AI19" s="44"/>
      <c r="AJ19" s="44"/>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5" x14ac:dyDescent="0.3">
      <c r="B20" s="172" t="s">
        <v>440</v>
      </c>
      <c r="C20" s="34"/>
      <c r="D20" s="84"/>
      <c r="G20" s="34"/>
      <c r="H20" s="84"/>
      <c r="J20" s="33"/>
      <c r="K20" s="38" t="s">
        <v>329</v>
      </c>
      <c r="L20" s="38" t="s">
        <v>201</v>
      </c>
      <c r="M20" s="84"/>
      <c r="N20" s="84"/>
      <c r="O20" s="100"/>
      <c r="P20" s="34"/>
      <c r="Q20" s="35"/>
      <c r="R20" s="44" t="s">
        <v>172</v>
      </c>
      <c r="S20" s="44"/>
      <c r="T20" s="44" t="s">
        <v>446</v>
      </c>
      <c r="U20" s="44" t="s">
        <v>445</v>
      </c>
      <c r="V20" s="44" t="s">
        <v>443</v>
      </c>
      <c r="W20" s="44" t="s">
        <v>444</v>
      </c>
      <c r="X20" s="44" t="s">
        <v>447</v>
      </c>
      <c r="Y20" s="44" t="s">
        <v>449</v>
      </c>
      <c r="Z20" s="44" t="s">
        <v>448</v>
      </c>
      <c r="AA20" s="44" t="s">
        <v>202</v>
      </c>
      <c r="AB20" s="44" t="s">
        <v>380</v>
      </c>
      <c r="AC20" s="44" t="s">
        <v>450</v>
      </c>
      <c r="AD20" s="44" t="s">
        <v>381</v>
      </c>
      <c r="AE20" s="44" t="s">
        <v>451</v>
      </c>
      <c r="AF20" s="44" t="s">
        <v>452</v>
      </c>
      <c r="AG20" s="44" t="s">
        <v>638</v>
      </c>
      <c r="AH20" s="44" t="s">
        <v>206</v>
      </c>
      <c r="AI20" s="44" t="s">
        <v>278</v>
      </c>
      <c r="AJ20" s="44" t="s">
        <v>207</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46.5" x14ac:dyDescent="0.3">
      <c r="B21" s="170" t="s">
        <v>504</v>
      </c>
      <c r="C21" s="392" t="s">
        <v>93</v>
      </c>
      <c r="D21" s="393"/>
      <c r="E21" s="393"/>
      <c r="F21" s="393"/>
      <c r="G21" s="394"/>
      <c r="H21" s="169"/>
      <c r="J21" s="173" t="s">
        <v>441</v>
      </c>
      <c r="K21" s="96">
        <f>IF(ISNUMBER(L21),L21,IF(OR(C21=Pudotusvalikot!$D$14,C21=Pudotusvalikot!$D$15),Kalusto!$G$96,VLOOKUP(C21,Kalusto!$C$44:$G$83,5,FALSE))*IF(OR(C22=Pudotusvalikot!$V$3,C22=Pudotusvalikot!$V$4),Muut!$E$38,IF(C22=Pudotusvalikot!$V$5,Muut!$E$39,IF(C22=Pudotusvalikot!$V$6,Muut!$E$40,Muut!$E$41))))</f>
        <v>5.7709999999999997E-2</v>
      </c>
      <c r="L21" s="40"/>
      <c r="M21" s="41" t="s">
        <v>200</v>
      </c>
      <c r="N21" s="41"/>
      <c r="O21" s="265"/>
      <c r="Q21" s="47"/>
      <c r="R21" s="218" t="str">
        <f ca="1">IF(AND(NOT(ISNUMBER(AB21)),NOT(ISNUMBER(AG21))),"",IF(ISNUMBER(AB21),AB21,0)+IF(ISNUMBER(AG21),AG21,0))</f>
        <v/>
      </c>
      <c r="S21" s="232" t="s">
        <v>484</v>
      </c>
      <c r="T21" s="216" t="str">
        <f>IF(ISNUMBER(L21),"Kohdetieto",IF(OR(C21=Pudotusvalikot!$D$14,C21=Pudotusvalikot!$D$15),Kalusto!$I$96,VLOOKUP(C21,Kalusto!$C$44:$L$83,7,FALSE)))</f>
        <v>Puoliperävaunu</v>
      </c>
      <c r="U21" s="216">
        <f>IF(ISNUMBER(L21),"Kohdetieto",IF(OR(C21=Pudotusvalikot!$D$14,C21=Pudotusvalikot!$D$15),Kalusto!$J$96,VLOOKUP(C21,Kalusto!$C$44:$L$83,8,FALSE)))</f>
        <v>40</v>
      </c>
      <c r="V21" s="217">
        <f>IF(ISNUMBER(L21),"Kohdetieto",IF(OR(C21=Pudotusvalikot!$D$14,C21=Pudotusvalikot!$D$15),Kalusto!$K$96,VLOOKUP(C21,Kalusto!$C$44:$L$83,9,FALSE)))</f>
        <v>0.8</v>
      </c>
      <c r="W21" s="217" t="str">
        <f>IF(ISNUMBER(L21),"Kohdetieto",IF(OR(C21=Pudotusvalikot!$D$14,C21=Pudotusvalikot!$D$15),Kalusto!$L$96,VLOOKUP(C21,Kalusto!$C$44:$L$83,10,FALSE)))</f>
        <v>maantieajo</v>
      </c>
      <c r="X21" s="218" t="str">
        <f>IF(ISBLANK(C23),"",C23)</f>
        <v/>
      </c>
      <c r="Y21" s="216" t="str">
        <f>IF(ISNUMBER(C24),C24,"")</f>
        <v/>
      </c>
      <c r="Z21" s="218" t="str">
        <f>IF(ISNUMBER(X21/(U21*V21)*Y21),X21/(U21*V21)*Y21,"")</f>
        <v/>
      </c>
      <c r="AA21" s="219">
        <f>IF(ISNUMBER(L21),L21,K21)</f>
        <v>5.7709999999999997E-2</v>
      </c>
      <c r="AB21" s="218" t="str">
        <f>IF(ISNUMBER(Y21*X21*K21),Y21*X21*K21,"")</f>
        <v/>
      </c>
      <c r="AC21" s="218" t="str">
        <f>IF(C40="Kyllä",Y21,"")</f>
        <v/>
      </c>
      <c r="AD21" s="218" t="str">
        <f>IF(C40="Kyllä",IF(ISNUMBER(X21/(U21*V21)),CEILING(X21/(U21*V21),1),""),"")</f>
        <v/>
      </c>
      <c r="AE21" s="218" t="str">
        <f>IF(ISNUMBER(AD21*AC21),AD21*AC21,"")</f>
        <v/>
      </c>
      <c r="AF21" s="219">
        <f ca="1">IF(ISNUMBER(L23),L23,K23)</f>
        <v>0.81247999999999998</v>
      </c>
      <c r="AG21" s="218" t="str">
        <f ca="1">IF(ISNUMBER(AC21*AD21*K23),AC21*AD21*K23,"")</f>
        <v/>
      </c>
      <c r="AH21" s="216">
        <f>IF(T21="Jakelukuorma-auto",0,IF(T21="Maansiirtoauto",4,IF(T21="Puoliperävaunu",6,8)))</f>
        <v>6</v>
      </c>
      <c r="AI21" s="216">
        <f>IF(AND(T21="Jakelukuorma-auto",U21=6),0,IF(AND(T21="Jakelukuorma-auto",U21=15),2,0))</f>
        <v>0</v>
      </c>
      <c r="AJ21" s="216">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5" x14ac:dyDescent="0.3">
      <c r="B22" s="186" t="s">
        <v>506</v>
      </c>
      <c r="C22" s="160" t="s">
        <v>242</v>
      </c>
      <c r="D22" s="34"/>
      <c r="E22" s="34"/>
      <c r="F22" s="34"/>
      <c r="G22" s="34"/>
      <c r="H22" s="59"/>
      <c r="J22" s="173"/>
      <c r="K22" s="173"/>
      <c r="L22" s="173"/>
      <c r="M22" s="41"/>
      <c r="N22" s="41"/>
      <c r="O22" s="265"/>
      <c r="Q22" s="47"/>
      <c r="R22" s="44"/>
      <c r="S22" s="44"/>
      <c r="T22" s="44"/>
      <c r="U22" s="44"/>
      <c r="V22" s="220"/>
      <c r="W22" s="220"/>
      <c r="X22" s="221"/>
      <c r="Y22" s="44"/>
      <c r="Z22" s="221"/>
      <c r="AA22" s="222"/>
      <c r="AB22" s="221"/>
      <c r="AC22" s="221"/>
      <c r="AD22" s="221"/>
      <c r="AE22" s="221"/>
      <c r="AF22" s="222"/>
      <c r="AG22" s="221"/>
      <c r="AH22" s="44"/>
      <c r="AI22" s="44"/>
      <c r="AJ22" s="44"/>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5" x14ac:dyDescent="0.3">
      <c r="B23" s="45" t="s">
        <v>505</v>
      </c>
      <c r="C23" s="156"/>
      <c r="D23" s="84" t="s">
        <v>52</v>
      </c>
      <c r="G23" s="34"/>
      <c r="H23" s="84"/>
      <c r="J23" s="33" t="s">
        <v>442</v>
      </c>
      <c r="K23" s="96">
        <f ca="1">IF(ISNUMBER(L23),L23,IF($C$160="Ei","",IF(AND($C$160="Kyllä",OR(C21=Pudotusvalikot!$D$14,C21=Pudotusvalikot!$D$15)),Kalusto!$G$97,OFFSET(Kalusto!$G$85,AH21+AJ21+AI21,0,1,1)))*IF(OR(C22=Pudotusvalikot!$V$3,C22=Pudotusvalikot!$V$4),Muut!$E$38,IF(C22=Pudotusvalikot!$V$5,Muut!$E$39,IF(C22=Pudotusvalikot!$V$6,Muut!$E$40,Muut!$E$41))))</f>
        <v>0.81247999999999998</v>
      </c>
      <c r="L23" s="40"/>
      <c r="M23" s="41" t="s">
        <v>204</v>
      </c>
      <c r="N23" s="41"/>
      <c r="O23" s="265"/>
      <c r="P23" s="34"/>
      <c r="Q23" s="52"/>
      <c r="R23" s="218" t="str">
        <f ca="1">IF(ISNUMBER(R21),R21,"")</f>
        <v/>
      </c>
      <c r="S23" s="232" t="s">
        <v>485</v>
      </c>
      <c r="T23" s="44"/>
      <c r="U23" s="44"/>
      <c r="V23" s="44"/>
      <c r="W23" s="44"/>
      <c r="X23" s="44"/>
      <c r="Y23" s="44"/>
      <c r="Z23" s="44"/>
      <c r="AA23" s="44"/>
      <c r="AB23" s="44"/>
      <c r="AC23" s="44"/>
      <c r="AD23" s="44"/>
      <c r="AE23" s="44"/>
      <c r="AF23" s="44"/>
      <c r="AG23" s="44"/>
      <c r="AH23" s="44"/>
      <c r="AI23" s="44"/>
      <c r="AJ23" s="44"/>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5" x14ac:dyDescent="0.3">
      <c r="B24" s="45" t="s">
        <v>507</v>
      </c>
      <c r="C24" s="156"/>
      <c r="D24" s="84" t="s">
        <v>5</v>
      </c>
      <c r="G24" s="34"/>
      <c r="H24" s="84"/>
      <c r="I24" s="53"/>
      <c r="J24" s="53"/>
      <c r="K24" s="34"/>
      <c r="L24" s="34"/>
      <c r="M24" s="84"/>
      <c r="N24" s="84"/>
      <c r="O24" s="100"/>
      <c r="P24" s="53"/>
      <c r="Q24" s="52"/>
      <c r="R24" s="44"/>
      <c r="S24" s="44"/>
      <c r="T24" s="44"/>
      <c r="U24" s="44"/>
      <c r="V24" s="44"/>
      <c r="W24" s="44"/>
      <c r="X24" s="44"/>
      <c r="Y24" s="44"/>
      <c r="Z24" s="44"/>
      <c r="AA24" s="44"/>
      <c r="AB24" s="44"/>
      <c r="AC24" s="44"/>
      <c r="AD24" s="44"/>
      <c r="AE24" s="44"/>
      <c r="AF24" s="44"/>
      <c r="AG24" s="44"/>
      <c r="AH24" s="44"/>
      <c r="AI24" s="44"/>
      <c r="AJ24" s="44"/>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5" x14ac:dyDescent="0.3">
      <c r="C25" s="34"/>
      <c r="D25" s="84"/>
      <c r="G25" s="34"/>
      <c r="H25" s="84"/>
      <c r="J25" s="33"/>
      <c r="K25" s="34"/>
      <c r="L25" s="34"/>
      <c r="M25" s="84"/>
      <c r="N25" s="84"/>
      <c r="O25" s="100"/>
      <c r="Q25" s="35"/>
      <c r="R25" s="44"/>
      <c r="S25" s="44"/>
      <c r="T25" s="44"/>
      <c r="U25" s="44"/>
      <c r="V25" s="44"/>
      <c r="W25" s="44"/>
      <c r="X25" s="44"/>
      <c r="Y25" s="44"/>
      <c r="Z25" s="44"/>
      <c r="AA25" s="44"/>
      <c r="AB25" s="44"/>
      <c r="AC25" s="44"/>
      <c r="AD25" s="44"/>
      <c r="AE25" s="44"/>
      <c r="AF25" s="44"/>
      <c r="AG25" s="44"/>
      <c r="AH25" s="44"/>
      <c r="AI25" s="44"/>
      <c r="AJ25" s="44"/>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46.5" x14ac:dyDescent="0.3">
      <c r="B26" s="78" t="s">
        <v>668</v>
      </c>
      <c r="C26" s="392" t="s">
        <v>6</v>
      </c>
      <c r="D26" s="394"/>
      <c r="G26" s="82" t="str">
        <f>C26</f>
        <v>Kyllä</v>
      </c>
      <c r="H26" s="84"/>
      <c r="J26" s="33"/>
      <c r="K26" s="34"/>
      <c r="L26" s="34"/>
      <c r="M26" s="84"/>
      <c r="N26" s="84"/>
      <c r="O26" s="100"/>
      <c r="Q26" s="35"/>
      <c r="R26" s="106"/>
      <c r="S26" s="44"/>
      <c r="T26" s="44"/>
      <c r="U26" s="44"/>
      <c r="V26" s="44"/>
      <c r="W26" s="44"/>
      <c r="X26" s="44"/>
      <c r="Y26" s="44"/>
      <c r="Z26" s="44"/>
      <c r="AA26" s="44"/>
      <c r="AB26" s="44"/>
      <c r="AC26" s="44"/>
      <c r="AD26" s="44"/>
      <c r="AE26" s="44"/>
      <c r="AF26" s="44"/>
      <c r="AG26" s="44"/>
      <c r="AH26" s="44"/>
      <c r="AI26" s="44"/>
      <c r="AJ26" s="44"/>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5" x14ac:dyDescent="0.3">
      <c r="C27" s="34"/>
      <c r="D27" s="84"/>
      <c r="G27" s="34"/>
      <c r="H27" s="84"/>
      <c r="K27" s="34"/>
      <c r="L27" s="34"/>
      <c r="M27" s="84"/>
      <c r="N27" s="84"/>
      <c r="O27" s="84"/>
      <c r="Q27" s="35"/>
      <c r="R27" s="106"/>
      <c r="S27" s="44"/>
      <c r="T27" s="44"/>
      <c r="U27" s="44"/>
      <c r="V27" s="44"/>
      <c r="W27" s="44"/>
      <c r="X27" s="44"/>
      <c r="Y27" s="44"/>
      <c r="Z27" s="44"/>
      <c r="AA27" s="44"/>
      <c r="AB27" s="44"/>
      <c r="AC27" s="44"/>
      <c r="AD27" s="44"/>
      <c r="AE27" s="44"/>
      <c r="AF27" s="44"/>
      <c r="AG27" s="44"/>
      <c r="AH27" s="44"/>
      <c r="AI27" s="44"/>
      <c r="AJ27" s="44"/>
      <c r="AK27" s="36"/>
      <c r="AL27" s="36"/>
      <c r="AM27" s="36"/>
      <c r="AN27" s="37"/>
      <c r="AO27" s="37"/>
      <c r="AP27" s="37"/>
      <c r="AQ27" s="37"/>
      <c r="AR27" s="37"/>
      <c r="AS27" s="37"/>
      <c r="AT27" s="37"/>
      <c r="AU27" s="37"/>
      <c r="AV27" s="37"/>
      <c r="AW27" s="37"/>
      <c r="AX27" s="37"/>
      <c r="AY27" s="37"/>
      <c r="AZ27" s="37"/>
      <c r="BA27" s="37"/>
      <c r="BB27" s="37"/>
      <c r="BC27" s="37"/>
      <c r="BD27" s="37"/>
      <c r="BE27" s="37"/>
    </row>
    <row r="28" spans="2:57" s="298" customFormat="1" ht="18" x14ac:dyDescent="0.3">
      <c r="B28" s="295" t="s">
        <v>508</v>
      </c>
      <c r="C28" s="296"/>
      <c r="D28" s="297"/>
      <c r="G28" s="296"/>
      <c r="H28" s="297"/>
      <c r="K28" s="296"/>
      <c r="L28" s="296"/>
      <c r="M28" s="297"/>
      <c r="N28" s="297"/>
      <c r="O28" s="300"/>
      <c r="P28" s="320"/>
      <c r="Q28" s="304"/>
      <c r="S28" s="303"/>
      <c r="T28" s="303"/>
      <c r="U28" s="303"/>
      <c r="V28" s="303"/>
      <c r="W28" s="303"/>
      <c r="X28" s="303"/>
      <c r="Y28" s="303"/>
      <c r="Z28" s="303"/>
      <c r="AA28" s="303"/>
      <c r="AB28" s="303"/>
      <c r="AC28" s="303"/>
      <c r="AD28" s="303"/>
      <c r="AE28" s="303"/>
      <c r="AF28" s="303"/>
      <c r="AG28" s="303"/>
      <c r="AH28" s="303"/>
      <c r="AI28" s="303"/>
      <c r="AJ28" s="303"/>
      <c r="AK28" s="303"/>
      <c r="AL28" s="303"/>
      <c r="AM28" s="303"/>
      <c r="AN28" s="304"/>
      <c r="AO28" s="304"/>
      <c r="AP28" s="304"/>
      <c r="AQ28" s="304"/>
      <c r="AR28" s="304"/>
      <c r="AS28" s="304"/>
      <c r="AT28" s="304"/>
      <c r="AU28" s="304"/>
      <c r="AV28" s="304"/>
      <c r="AW28" s="304"/>
      <c r="AX28" s="304"/>
      <c r="AY28" s="304"/>
      <c r="AZ28" s="304"/>
      <c r="BA28" s="304"/>
      <c r="BB28" s="304"/>
      <c r="BC28" s="304"/>
      <c r="BD28" s="304"/>
      <c r="BE28" s="304"/>
    </row>
    <row r="29" spans="2:57" s="31" customFormat="1" ht="16" thickBot="1" x14ac:dyDescent="0.35">
      <c r="B29" s="9"/>
      <c r="C29" s="34"/>
      <c r="D29" s="84"/>
      <c r="G29" s="34"/>
      <c r="H29" s="84"/>
      <c r="J29" s="33"/>
      <c r="K29" s="38" t="s">
        <v>329</v>
      </c>
      <c r="L29" s="38" t="s">
        <v>201</v>
      </c>
      <c r="M29" s="86"/>
      <c r="N29" s="86"/>
      <c r="O29" s="255" t="s">
        <v>644</v>
      </c>
      <c r="P29" s="38"/>
      <c r="Q29" s="35"/>
      <c r="R29" s="221" t="s">
        <v>350</v>
      </c>
      <c r="S29" s="44"/>
      <c r="T29" s="44"/>
      <c r="U29" s="44"/>
      <c r="V29" s="44"/>
      <c r="W29" s="44"/>
      <c r="X29" s="44"/>
      <c r="Y29" s="44"/>
      <c r="Z29" s="44"/>
      <c r="AA29" s="44"/>
      <c r="AB29" s="44"/>
      <c r="AC29" s="44"/>
      <c r="AD29" s="44"/>
      <c r="AE29" s="44"/>
      <c r="AF29" s="44"/>
      <c r="AG29" s="44"/>
      <c r="AH29" s="44"/>
      <c r="AI29" s="44"/>
      <c r="AJ29" s="44"/>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47" thickBot="1" x14ac:dyDescent="0.4">
      <c r="B30" s="39" t="s">
        <v>474</v>
      </c>
      <c r="C30" s="156"/>
      <c r="D30" s="88" t="s">
        <v>174</v>
      </c>
      <c r="E30" s="32"/>
      <c r="F30" s="32"/>
      <c r="G30" s="34"/>
      <c r="H30" s="84"/>
      <c r="J30" s="33" t="s">
        <v>456</v>
      </c>
      <c r="K30" s="96">
        <f>Muut!$H$4</f>
        <v>8.4</v>
      </c>
      <c r="L30" s="40"/>
      <c r="M30" s="41" t="s">
        <v>298</v>
      </c>
      <c r="N30" s="41"/>
      <c r="O30" s="256"/>
      <c r="Q30" s="35"/>
      <c r="R30" s="238" t="str">
        <f>IF(ISNUMBER(C30),IF(ISNUMBER(L30),L30*C30,K30*C30),"")</f>
        <v/>
      </c>
      <c r="S30" s="232" t="s">
        <v>349</v>
      </c>
      <c r="T30" s="223"/>
      <c r="U30" s="223"/>
      <c r="V30" s="223"/>
      <c r="W30" s="44"/>
      <c r="X30" s="44"/>
      <c r="Y30" s="44"/>
      <c r="Z30" s="44"/>
      <c r="AA30" s="44"/>
      <c r="AB30" s="44"/>
      <c r="AC30" s="44"/>
      <c r="AD30" s="44"/>
      <c r="AE30" s="44"/>
      <c r="AF30" s="44"/>
      <c r="AG30" s="44"/>
      <c r="AH30" s="44"/>
      <c r="AI30" s="44"/>
      <c r="AJ30" s="44"/>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5" x14ac:dyDescent="0.35">
      <c r="B31" s="170" t="s">
        <v>509</v>
      </c>
      <c r="C31" s="160" t="s">
        <v>242</v>
      </c>
      <c r="D31" s="88"/>
      <c r="E31" s="32"/>
      <c r="F31" s="32"/>
      <c r="G31" s="34"/>
      <c r="H31" s="84"/>
      <c r="J31" s="33" t="s">
        <v>455</v>
      </c>
      <c r="K31" s="96">
        <f>Muut!$H$5*IF(OR(C31=Pudotusvalikot!$V$3,C31=Pudotusvalikot!$V$4),Muut!$E$38,IF(C31=Pudotusvalikot!$V$5,Muut!$E$39,IF(C31=Pudotusvalikot!$V$6,Muut!$E$40,Muut!$E$41)))</f>
        <v>0.12327540000000001</v>
      </c>
      <c r="L31" s="40"/>
      <c r="M31" s="41" t="s">
        <v>298</v>
      </c>
      <c r="N31" s="41"/>
      <c r="O31" s="41"/>
      <c r="Q31" s="35"/>
      <c r="R31" s="239" t="str">
        <f>IF(ISNUMBER(C30),IF(ISNUMBER(L31),L31*C30,K31*C30),"")</f>
        <v/>
      </c>
      <c r="S31" s="232" t="s">
        <v>172</v>
      </c>
      <c r="T31" s="223"/>
      <c r="U31" s="223"/>
      <c r="V31" s="223"/>
      <c r="W31" s="44"/>
      <c r="X31" s="44"/>
      <c r="Y31" s="44"/>
      <c r="Z31" s="44"/>
      <c r="AA31" s="44"/>
      <c r="AB31" s="44"/>
      <c r="AC31" s="44"/>
      <c r="AD31" s="44"/>
      <c r="AE31" s="44"/>
      <c r="AF31" s="44"/>
      <c r="AG31" s="44"/>
      <c r="AH31" s="44"/>
      <c r="AI31" s="44"/>
      <c r="AJ31" s="44"/>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5" x14ac:dyDescent="0.35">
      <c r="B32" s="39" t="s">
        <v>475</v>
      </c>
      <c r="C32" s="156"/>
      <c r="D32" s="88" t="s">
        <v>174</v>
      </c>
      <c r="E32" s="32"/>
      <c r="F32" s="32"/>
      <c r="G32" s="34"/>
      <c r="H32" s="84"/>
      <c r="J32" s="33" t="s">
        <v>454</v>
      </c>
      <c r="K32" s="96">
        <f>Muut!$H$6*IF(OR(C33=Pudotusvalikot!$V$3,C33=Pudotusvalikot!$V$4),Muut!$E$38,IF(C33=Pudotusvalikot!$V$5,Muut!$E$39,IF(C33=Pudotusvalikot!$V$6,Muut!$E$40,Muut!$E$41)))</f>
        <v>4.0956000000000006E-2</v>
      </c>
      <c r="L32" s="40"/>
      <c r="M32" s="41" t="s">
        <v>298</v>
      </c>
      <c r="N32" s="41"/>
      <c r="O32" s="41"/>
      <c r="Q32" s="35"/>
      <c r="R32" s="216" t="str">
        <f>IF(ISNUMBER(#REF!),IF(ISNUMBER(L32),L32*#REF!,K32*#REF!),"")</f>
        <v/>
      </c>
      <c r="S32" s="232" t="s">
        <v>172</v>
      </c>
      <c r="T32" s="223"/>
      <c r="U32" s="223"/>
      <c r="V32" s="223"/>
      <c r="W32" s="44"/>
      <c r="X32" s="44"/>
      <c r="Y32" s="44"/>
      <c r="Z32" s="44"/>
      <c r="AA32" s="44"/>
      <c r="AB32" s="44"/>
      <c r="AC32" s="44"/>
      <c r="AD32" s="44"/>
      <c r="AE32" s="44"/>
      <c r="AF32" s="44"/>
      <c r="AG32" s="44"/>
      <c r="AH32" s="44"/>
      <c r="AI32" s="44"/>
      <c r="AJ32" s="44"/>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5" x14ac:dyDescent="0.3">
      <c r="B33" s="170" t="s">
        <v>509</v>
      </c>
      <c r="C33" s="160" t="s">
        <v>242</v>
      </c>
      <c r="D33" s="34"/>
      <c r="E33" s="34"/>
      <c r="F33" s="34"/>
      <c r="G33" s="34"/>
      <c r="H33" s="59"/>
      <c r="J33" s="173"/>
      <c r="K33" s="173"/>
      <c r="L33" s="173"/>
      <c r="M33" s="41"/>
      <c r="N33" s="41"/>
      <c r="O33" s="41"/>
      <c r="Q33" s="47"/>
      <c r="R33" s="232"/>
      <c r="S33" s="232"/>
      <c r="T33" s="44"/>
      <c r="U33" s="44"/>
      <c r="V33" s="220"/>
      <c r="W33" s="220"/>
      <c r="X33" s="221"/>
      <c r="Y33" s="44"/>
      <c r="Z33" s="221"/>
      <c r="AA33" s="222"/>
      <c r="AB33" s="221"/>
      <c r="AC33" s="221"/>
      <c r="AD33" s="221"/>
      <c r="AE33" s="221"/>
      <c r="AF33" s="222"/>
      <c r="AG33" s="221"/>
      <c r="AH33" s="44"/>
      <c r="AI33" s="44"/>
      <c r="AJ33" s="44"/>
      <c r="AK33" s="108"/>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5" x14ac:dyDescent="0.35">
      <c r="B34" s="39" t="s">
        <v>393</v>
      </c>
      <c r="C34" s="156"/>
      <c r="D34" s="88" t="s">
        <v>175</v>
      </c>
      <c r="E34" s="32"/>
      <c r="F34" s="32"/>
      <c r="G34" s="34"/>
      <c r="H34" s="84"/>
      <c r="J34" s="33" t="s">
        <v>453</v>
      </c>
      <c r="K34" s="96">
        <f>Muut!$H$7*IF(OR(C35=Pudotusvalikot!$V$3,C35=Pudotusvalikot!$V$4),Muut!$E$38,IF(C35=Pudotusvalikot!$V$5,Muut!$E$39,IF(C35=Pudotusvalikot!$V$6,Muut!$E$40,Muut!$E$41)))</f>
        <v>0.51195000000000002</v>
      </c>
      <c r="L34" s="40"/>
      <c r="M34" s="41" t="s">
        <v>226</v>
      </c>
      <c r="N34" s="41"/>
      <c r="O34" s="41"/>
      <c r="Q34" s="35"/>
      <c r="R34" s="216" t="str">
        <f>IF(ISNUMBER(C34),IF(ISNUMBER(L34),L34*C34,K34*C34),"")</f>
        <v/>
      </c>
      <c r="S34" s="232" t="s">
        <v>172</v>
      </c>
      <c r="T34" s="223"/>
      <c r="U34" s="223"/>
      <c r="V34" s="223"/>
      <c r="W34" s="44"/>
      <c r="X34" s="44"/>
      <c r="Y34" s="44"/>
      <c r="Z34" s="44"/>
      <c r="AA34" s="44"/>
      <c r="AB34" s="44"/>
      <c r="AC34" s="44"/>
      <c r="AD34" s="44"/>
      <c r="AE34" s="44"/>
      <c r="AF34" s="44"/>
      <c r="AG34" s="44"/>
      <c r="AH34" s="44"/>
      <c r="AI34" s="44"/>
      <c r="AJ34" s="44"/>
      <c r="AK34" s="36"/>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5" x14ac:dyDescent="0.3">
      <c r="B35" s="170" t="s">
        <v>509</v>
      </c>
      <c r="C35" s="160" t="s">
        <v>242</v>
      </c>
      <c r="D35" s="34"/>
      <c r="E35" s="34"/>
      <c r="F35" s="34"/>
      <c r="G35" s="34"/>
      <c r="H35" s="59"/>
      <c r="J35" s="173"/>
      <c r="K35" s="173"/>
      <c r="L35" s="173"/>
      <c r="M35" s="41"/>
      <c r="N35" s="41"/>
      <c r="O35" s="41"/>
      <c r="Q35" s="47"/>
      <c r="R35" s="232"/>
      <c r="S35" s="232"/>
      <c r="T35" s="44"/>
      <c r="U35" s="44"/>
      <c r="V35" s="220"/>
      <c r="W35" s="220"/>
      <c r="X35" s="221"/>
      <c r="Y35" s="44"/>
      <c r="Z35" s="221"/>
      <c r="AA35" s="222"/>
      <c r="AB35" s="221"/>
      <c r="AC35" s="221"/>
      <c r="AD35" s="221"/>
      <c r="AE35" s="221"/>
      <c r="AF35" s="222"/>
      <c r="AG35" s="221"/>
      <c r="AH35" s="44"/>
      <c r="AI35" s="44"/>
      <c r="AJ35" s="44"/>
      <c r="AK35" s="108"/>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5" x14ac:dyDescent="0.3">
      <c r="B36" s="9"/>
      <c r="C36" s="34"/>
      <c r="D36" s="84"/>
      <c r="G36" s="34"/>
      <c r="H36" s="84"/>
      <c r="K36" s="34"/>
      <c r="L36" s="34"/>
      <c r="M36" s="84"/>
      <c r="N36" s="84"/>
      <c r="O36" s="84"/>
      <c r="Q36" s="35"/>
      <c r="R36" s="44"/>
      <c r="S36" s="44"/>
      <c r="T36" s="44"/>
      <c r="U36" s="44"/>
      <c r="V36" s="44"/>
      <c r="W36" s="44"/>
      <c r="X36" s="44"/>
      <c r="Y36" s="44"/>
      <c r="Z36" s="44"/>
      <c r="AA36" s="44"/>
      <c r="AB36" s="44"/>
      <c r="AC36" s="44"/>
      <c r="AD36" s="44"/>
      <c r="AE36" s="44"/>
      <c r="AF36" s="44"/>
      <c r="AG36" s="44"/>
      <c r="AH36" s="44"/>
      <c r="AI36" s="44"/>
      <c r="AJ36" s="44"/>
      <c r="AK36" s="36"/>
      <c r="AL36" s="36"/>
      <c r="AM36" s="36"/>
      <c r="AN36" s="37"/>
      <c r="AO36" s="37"/>
      <c r="AP36" s="37"/>
      <c r="AQ36" s="37"/>
      <c r="AR36" s="37"/>
      <c r="AS36" s="37"/>
      <c r="AT36" s="37"/>
      <c r="AU36" s="37"/>
      <c r="AV36" s="37"/>
      <c r="AW36" s="37"/>
      <c r="AX36" s="37"/>
      <c r="AY36" s="37"/>
      <c r="AZ36" s="37"/>
      <c r="BA36" s="37"/>
      <c r="BB36" s="37"/>
      <c r="BC36" s="37"/>
      <c r="BD36" s="37"/>
      <c r="BE36" s="37"/>
    </row>
    <row r="37" spans="2:57" s="298" customFormat="1" ht="18" x14ac:dyDescent="0.3">
      <c r="B37" s="295" t="s">
        <v>294</v>
      </c>
      <c r="C37" s="296"/>
      <c r="D37" s="297"/>
      <c r="G37" s="296"/>
      <c r="H37" s="297"/>
      <c r="K37" s="296"/>
      <c r="L37" s="296"/>
      <c r="M37" s="297"/>
      <c r="N37" s="297"/>
      <c r="O37" s="300"/>
      <c r="P37" s="320"/>
      <c r="Q37" s="304"/>
      <c r="S37" s="303"/>
      <c r="T37" s="303"/>
      <c r="U37" s="303"/>
      <c r="V37" s="303"/>
      <c r="W37" s="303"/>
      <c r="X37" s="303"/>
      <c r="Y37" s="303"/>
      <c r="Z37" s="303"/>
      <c r="AA37" s="303"/>
      <c r="AB37" s="303"/>
      <c r="AC37" s="303"/>
      <c r="AD37" s="303"/>
      <c r="AE37" s="303"/>
      <c r="AF37" s="303"/>
      <c r="AG37" s="303"/>
      <c r="AH37" s="303"/>
      <c r="AI37" s="303"/>
      <c r="AJ37" s="303"/>
      <c r="AK37" s="303"/>
      <c r="AL37" s="303"/>
      <c r="AM37" s="303"/>
      <c r="AN37" s="304"/>
      <c r="AO37" s="304"/>
      <c r="AP37" s="304"/>
      <c r="AQ37" s="304"/>
      <c r="AR37" s="304"/>
      <c r="AS37" s="304"/>
      <c r="AT37" s="304"/>
      <c r="AU37" s="304"/>
      <c r="AV37" s="304"/>
      <c r="AW37" s="304"/>
      <c r="AX37" s="304"/>
      <c r="AY37" s="304"/>
      <c r="AZ37" s="304"/>
      <c r="BA37" s="304"/>
      <c r="BB37" s="304"/>
      <c r="BC37" s="304"/>
      <c r="BD37" s="304"/>
      <c r="BE37" s="304"/>
    </row>
    <row r="38" spans="2:57" s="31" customFormat="1" ht="15.5" x14ac:dyDescent="0.3">
      <c r="B38" s="54"/>
      <c r="Q38" s="133"/>
      <c r="R38" s="225"/>
      <c r="S38" s="225"/>
      <c r="T38" s="225"/>
      <c r="U38" s="225"/>
      <c r="V38" s="225"/>
      <c r="W38" s="225"/>
      <c r="X38" s="225"/>
      <c r="Y38" s="225"/>
      <c r="Z38" s="225"/>
      <c r="AA38" s="225"/>
      <c r="AB38" s="225"/>
      <c r="AC38" s="225"/>
      <c r="AD38" s="225"/>
      <c r="AE38" s="225"/>
      <c r="AF38" s="225"/>
      <c r="AG38" s="225"/>
      <c r="AH38" s="225"/>
      <c r="AI38" s="225"/>
      <c r="AJ38" s="225"/>
      <c r="AK38" s="108"/>
      <c r="AL38" s="108"/>
      <c r="AM38" s="108"/>
      <c r="AN38" s="108"/>
      <c r="AO38" s="108"/>
      <c r="AP38" s="108"/>
      <c r="AQ38" s="108"/>
      <c r="AR38" s="108"/>
      <c r="AS38" s="108"/>
      <c r="AT38" s="108"/>
      <c r="AU38" s="108"/>
      <c r="AV38" s="108"/>
      <c r="AW38" s="108"/>
      <c r="AX38" s="108"/>
      <c r="AY38" s="108"/>
      <c r="AZ38" s="108"/>
      <c r="BA38" s="108"/>
      <c r="BB38" s="108"/>
      <c r="BC38" s="108"/>
      <c r="BD38" s="108"/>
      <c r="BE38" s="108"/>
    </row>
    <row r="39" spans="2:57" s="31" customFormat="1" ht="15.5" x14ac:dyDescent="0.3">
      <c r="B39" s="155" t="s">
        <v>389</v>
      </c>
      <c r="C39" s="54"/>
      <c r="D39" s="54"/>
      <c r="E39" s="54"/>
      <c r="F39" s="54"/>
      <c r="G39" s="54"/>
      <c r="H39" s="54"/>
      <c r="I39" s="54"/>
      <c r="J39" s="54"/>
      <c r="K39" s="38" t="s">
        <v>329</v>
      </c>
      <c r="L39" s="38" t="s">
        <v>201</v>
      </c>
      <c r="M39" s="84"/>
      <c r="N39" s="84"/>
      <c r="O39" s="255" t="s">
        <v>644</v>
      </c>
      <c r="P39" s="38"/>
      <c r="Q39" s="35"/>
      <c r="R39" s="221" t="s">
        <v>350</v>
      </c>
      <c r="S39" s="44"/>
      <c r="T39" s="44" t="s">
        <v>275</v>
      </c>
      <c r="U39" s="44" t="s">
        <v>351</v>
      </c>
      <c r="V39" s="44" t="s">
        <v>352</v>
      </c>
      <c r="W39" s="44"/>
      <c r="X39" s="44"/>
      <c r="Y39" s="44"/>
      <c r="Z39" s="44"/>
      <c r="AA39" s="226"/>
      <c r="AB39" s="44"/>
      <c r="AC39" s="44"/>
      <c r="AD39" s="44"/>
      <c r="AE39" s="44"/>
      <c r="AF39" s="44"/>
      <c r="AG39" s="44"/>
      <c r="AH39" s="44"/>
      <c r="AI39" s="44"/>
      <c r="AJ39" s="44"/>
      <c r="AK39" s="36"/>
      <c r="AL39" s="36"/>
      <c r="AM39" s="36"/>
      <c r="AN39" s="37"/>
      <c r="AO39" s="37"/>
      <c r="AP39" s="37"/>
      <c r="AQ39" s="37"/>
      <c r="AR39" s="37"/>
      <c r="AS39" s="37"/>
      <c r="AT39" s="37"/>
      <c r="AU39" s="37"/>
      <c r="AV39" s="37"/>
      <c r="AW39" s="37"/>
      <c r="AX39" s="37"/>
      <c r="AY39" s="37"/>
      <c r="AZ39" s="37"/>
      <c r="BA39" s="37"/>
      <c r="BB39" s="37"/>
      <c r="BC39" s="37"/>
      <c r="BD39" s="37"/>
      <c r="BE39" s="37"/>
    </row>
    <row r="40" spans="2:57" s="31" customFormat="1" ht="15.5" x14ac:dyDescent="0.3">
      <c r="B40" s="54" t="s">
        <v>510</v>
      </c>
      <c r="C40" s="392" t="s">
        <v>128</v>
      </c>
      <c r="D40" s="393"/>
      <c r="E40" s="393"/>
      <c r="F40" s="393"/>
      <c r="G40" s="394"/>
      <c r="J40" s="33" t="s">
        <v>470</v>
      </c>
      <c r="K40" s="110">
        <f>IF(ISNUMBER(L40),L40,IF(OR(C40=Pudotusvalikot!$D$67,C40=Pudotusvalikot!$D$68),"--",VLOOKUP(C40,Kalusto!$C$5:$E$42,3,FALSE)*IF(OR(C41=Pudotusvalikot!$V$3,C41=Pudotusvalikot!$V$4),Muut!$E$38,IF(C41=Pudotusvalikot!$V$5,Muut!$E$39,IF(C41=Pudotusvalikot!$V$6,Muut!$E$40,Muut!$E$41)))))</f>
        <v>34.130000000000003</v>
      </c>
      <c r="L40" s="40"/>
      <c r="M40" s="41" t="s">
        <v>205</v>
      </c>
      <c r="N40" s="41"/>
      <c r="O40" s="256"/>
      <c r="P40" s="60"/>
      <c r="Q40" s="35"/>
      <c r="R40" s="218" t="str">
        <f>IF(ISNUMBER(K40*V40),K40*V40,"")</f>
        <v/>
      </c>
      <c r="S40" s="232" t="s">
        <v>172</v>
      </c>
      <c r="T40" s="218" t="str">
        <f>IF(ISNUMBER(C42),C42,"")</f>
        <v/>
      </c>
      <c r="U40" s="224" t="str">
        <f>IF(D42="h","",IF(ISNUMBER(C42),C42,""))</f>
        <v/>
      </c>
      <c r="V40" s="218" t="str">
        <f>IF(ISNUMBER(T40),IF(D42="h",C42,IF(ISNUMBER(T40*U40),IF(D42="m3/h",T40/U40,T40*U40),"")),"")</f>
        <v/>
      </c>
      <c r="W40" s="225"/>
      <c r="X40" s="221"/>
      <c r="Y40" s="44"/>
      <c r="Z40" s="44"/>
      <c r="AA40" s="44"/>
      <c r="AB40" s="44"/>
      <c r="AC40" s="44"/>
      <c r="AD40" s="44"/>
      <c r="AE40" s="44"/>
      <c r="AF40" s="44"/>
      <c r="AG40" s="44"/>
      <c r="AH40" s="44"/>
      <c r="AI40" s="44"/>
      <c r="AJ40" s="44"/>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5" x14ac:dyDescent="0.3">
      <c r="B41" s="170" t="s">
        <v>509</v>
      </c>
      <c r="C41" s="160" t="s">
        <v>242</v>
      </c>
      <c r="D41" s="34"/>
      <c r="E41" s="34"/>
      <c r="F41" s="34"/>
      <c r="G41" s="34"/>
      <c r="J41" s="33"/>
      <c r="K41" s="33"/>
      <c r="L41" s="33"/>
      <c r="M41" s="33"/>
      <c r="N41" s="33"/>
      <c r="O41" s="271"/>
      <c r="P41" s="60"/>
      <c r="Q41" s="35"/>
      <c r="R41" s="221"/>
      <c r="S41" s="232"/>
      <c r="T41" s="221"/>
      <c r="U41" s="226"/>
      <c r="V41" s="221"/>
      <c r="W41" s="225"/>
      <c r="X41" s="221"/>
      <c r="Y41" s="44"/>
      <c r="Z41" s="44"/>
      <c r="AA41" s="44"/>
      <c r="AB41" s="44"/>
      <c r="AC41" s="44"/>
      <c r="AD41" s="44"/>
      <c r="AE41" s="44"/>
      <c r="AF41" s="44"/>
      <c r="AG41" s="44"/>
      <c r="AH41" s="44"/>
      <c r="AI41" s="44"/>
      <c r="AJ41" s="44"/>
      <c r="AK41" s="36"/>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15.5" x14ac:dyDescent="0.3">
      <c r="B42" s="45" t="s">
        <v>392</v>
      </c>
      <c r="C42" s="159"/>
      <c r="D42" s="84" t="s">
        <v>51</v>
      </c>
      <c r="E42" s="34"/>
      <c r="F42" s="34"/>
      <c r="G42" s="34"/>
      <c r="J42" s="33"/>
      <c r="M42" s="84"/>
      <c r="N42" s="84"/>
      <c r="O42" s="100"/>
      <c r="P42" s="42"/>
      <c r="Q42" s="52"/>
      <c r="R42" s="240"/>
      <c r="S42" s="44"/>
      <c r="T42" s="44"/>
      <c r="U42" s="44"/>
      <c r="V42" s="44"/>
      <c r="W42" s="44"/>
      <c r="X42" s="44"/>
      <c r="Y42" s="44"/>
      <c r="Z42" s="44"/>
      <c r="AA42" s="44"/>
      <c r="AB42" s="44"/>
      <c r="AC42" s="44"/>
      <c r="AD42" s="44"/>
      <c r="AE42" s="44"/>
      <c r="AF42" s="44"/>
      <c r="AG42" s="44"/>
      <c r="AH42" s="44"/>
      <c r="AI42" s="44"/>
      <c r="AJ42" s="44"/>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5" x14ac:dyDescent="0.3">
      <c r="B43" s="155" t="s">
        <v>390</v>
      </c>
      <c r="K43" s="38" t="s">
        <v>329</v>
      </c>
      <c r="L43" s="38" t="s">
        <v>201</v>
      </c>
      <c r="O43" s="259"/>
      <c r="Q43" s="133"/>
      <c r="R43" s="221" t="s">
        <v>350</v>
      </c>
      <c r="S43" s="225"/>
      <c r="T43" s="44" t="s">
        <v>275</v>
      </c>
      <c r="U43" s="44" t="s">
        <v>351</v>
      </c>
      <c r="V43" s="44" t="s">
        <v>352</v>
      </c>
      <c r="W43" s="44"/>
      <c r="X43" s="225"/>
      <c r="Y43" s="225"/>
      <c r="Z43" s="225"/>
      <c r="AA43" s="225"/>
      <c r="AB43" s="225"/>
      <c r="AC43" s="225"/>
      <c r="AD43" s="225"/>
      <c r="AE43" s="225"/>
      <c r="AF43" s="225"/>
      <c r="AG43" s="225"/>
      <c r="AH43" s="225"/>
      <c r="AI43" s="225"/>
      <c r="AJ43" s="225"/>
      <c r="AK43" s="108"/>
      <c r="AL43" s="108"/>
      <c r="AM43" s="108"/>
      <c r="AN43" s="108"/>
      <c r="AO43" s="108"/>
      <c r="AP43" s="108"/>
      <c r="AQ43" s="108"/>
      <c r="AR43" s="108"/>
      <c r="AS43" s="108"/>
      <c r="AT43" s="108"/>
      <c r="AU43" s="108"/>
      <c r="AV43" s="108"/>
      <c r="AW43" s="108"/>
      <c r="AX43" s="108"/>
      <c r="AY43" s="108"/>
      <c r="AZ43" s="108"/>
      <c r="BA43" s="108"/>
      <c r="BB43" s="108"/>
      <c r="BC43" s="108"/>
      <c r="BD43" s="108"/>
      <c r="BE43" s="108"/>
    </row>
    <row r="44" spans="2:57" s="31" customFormat="1" ht="15.65" customHeight="1" x14ac:dyDescent="0.3">
      <c r="B44" s="45" t="s">
        <v>510</v>
      </c>
      <c r="C44" s="392" t="s">
        <v>128</v>
      </c>
      <c r="D44" s="393"/>
      <c r="E44" s="393"/>
      <c r="F44" s="393"/>
      <c r="G44" s="394"/>
      <c r="J44" s="33" t="s">
        <v>470</v>
      </c>
      <c r="K44" s="110">
        <f>IF(ISNUMBER(L44),L44,IF(OR(C44=Pudotusvalikot!$D$67,C44=Pudotusvalikot!$D$68),"--",VLOOKUP(C44,Kalusto!$C$5:$E$42,3,FALSE)*IF(OR(C45=Pudotusvalikot!$V$3,C45=Pudotusvalikot!$V$4),Muut!$E$38,IF(C45=Pudotusvalikot!$V$5,Muut!$E$39,IF(C45=Pudotusvalikot!$V$6,Muut!$E$40,Muut!$E$41)))))</f>
        <v>34.130000000000003</v>
      </c>
      <c r="L44" s="40"/>
      <c r="M44" s="41" t="s">
        <v>205</v>
      </c>
      <c r="N44" s="41"/>
      <c r="O44" s="265"/>
      <c r="P44" s="60"/>
      <c r="Q44" s="35"/>
      <c r="R44" s="218" t="str">
        <f>IF(ISNUMBER(K44*V44),K44*V44,"")</f>
        <v/>
      </c>
      <c r="S44" s="232" t="s">
        <v>172</v>
      </c>
      <c r="T44" s="218" t="str">
        <f>IF(ISNUMBER(C46),C46,"")</f>
        <v/>
      </c>
      <c r="U44" s="224" t="str">
        <f>IF(D46="h","",IF(ISNUMBER(C46),C46,""))</f>
        <v/>
      </c>
      <c r="V44" s="218" t="str">
        <f>IF(ISNUMBER(T44),IF(D46="h",C46,IF(ISNUMBER(T44*U44),IF(D46="m3/h",T44/U44,T44*U44),"")),"")</f>
        <v/>
      </c>
      <c r="W44" s="225"/>
      <c r="X44" s="221"/>
      <c r="Y44" s="44"/>
      <c r="Z44" s="44"/>
      <c r="AA44" s="44"/>
      <c r="AB44" s="44"/>
      <c r="AC44" s="44"/>
      <c r="AD44" s="44"/>
      <c r="AE44" s="44"/>
      <c r="AF44" s="44"/>
      <c r="AG44" s="44"/>
      <c r="AH44" s="44"/>
      <c r="AI44" s="44"/>
      <c r="AJ44" s="44"/>
      <c r="AK44" s="36"/>
      <c r="AL44" s="36"/>
      <c r="AM44" s="36"/>
      <c r="AN44" s="37"/>
      <c r="AO44" s="37"/>
      <c r="AP44" s="37"/>
      <c r="AQ44" s="37"/>
      <c r="AR44" s="37"/>
      <c r="AS44" s="37"/>
      <c r="AT44" s="37"/>
      <c r="AU44" s="37"/>
      <c r="AV44" s="37"/>
      <c r="AW44" s="37"/>
      <c r="AX44" s="37"/>
      <c r="AY44" s="37"/>
      <c r="AZ44" s="37"/>
      <c r="BA44" s="37"/>
      <c r="BB44" s="37"/>
      <c r="BC44" s="37"/>
      <c r="BD44" s="37"/>
      <c r="BE44" s="37"/>
    </row>
    <row r="45" spans="2:57" s="31" customFormat="1" ht="15.65" customHeight="1" x14ac:dyDescent="0.3">
      <c r="B45" s="170" t="s">
        <v>509</v>
      </c>
      <c r="C45" s="160" t="s">
        <v>242</v>
      </c>
      <c r="D45" s="34"/>
      <c r="E45" s="34"/>
      <c r="F45" s="34"/>
      <c r="G45" s="34"/>
      <c r="J45" s="33"/>
      <c r="K45" s="33"/>
      <c r="L45" s="33"/>
      <c r="M45" s="33"/>
      <c r="N45" s="33"/>
      <c r="O45" s="271"/>
      <c r="P45" s="60"/>
      <c r="Q45" s="35"/>
      <c r="R45" s="221"/>
      <c r="S45" s="232"/>
      <c r="T45" s="221"/>
      <c r="U45" s="226"/>
      <c r="V45" s="221"/>
      <c r="W45" s="225"/>
      <c r="X45" s="221"/>
      <c r="Y45" s="44"/>
      <c r="Z45" s="44"/>
      <c r="AA45" s="44"/>
      <c r="AB45" s="44"/>
      <c r="AC45" s="44"/>
      <c r="AD45" s="44"/>
      <c r="AE45" s="44"/>
      <c r="AF45" s="44"/>
      <c r="AG45" s="44"/>
      <c r="AH45" s="44"/>
      <c r="AI45" s="44"/>
      <c r="AJ45" s="44"/>
      <c r="AK45" s="36"/>
      <c r="AL45" s="36"/>
      <c r="AM45" s="36"/>
      <c r="AN45" s="37"/>
      <c r="AO45" s="37"/>
      <c r="AP45" s="37"/>
      <c r="AQ45" s="37"/>
      <c r="AR45" s="37"/>
      <c r="AS45" s="37"/>
      <c r="AT45" s="37"/>
      <c r="AU45" s="37"/>
      <c r="AV45" s="37"/>
      <c r="AW45" s="37"/>
      <c r="AX45" s="37"/>
      <c r="AY45" s="37"/>
      <c r="AZ45" s="37"/>
      <c r="BA45" s="37"/>
      <c r="BB45" s="37"/>
      <c r="BC45" s="37"/>
      <c r="BD45" s="37"/>
      <c r="BE45" s="37"/>
    </row>
    <row r="46" spans="2:57" s="31" customFormat="1" ht="15.5" x14ac:dyDescent="0.3">
      <c r="B46" s="45" t="s">
        <v>392</v>
      </c>
      <c r="C46" s="159"/>
      <c r="D46" s="84" t="s">
        <v>51</v>
      </c>
      <c r="E46" s="34"/>
      <c r="F46" s="34"/>
      <c r="G46" s="34"/>
      <c r="J46" s="33"/>
      <c r="K46" s="38"/>
      <c r="L46" s="38"/>
      <c r="M46" s="84"/>
      <c r="N46" s="84"/>
      <c r="O46" s="100"/>
      <c r="P46" s="42"/>
      <c r="Q46" s="52"/>
      <c r="R46" s="240"/>
      <c r="S46" s="44"/>
      <c r="T46" s="44"/>
      <c r="U46" s="44"/>
      <c r="V46" s="44"/>
      <c r="W46" s="44"/>
      <c r="X46" s="44"/>
      <c r="Y46" s="44"/>
      <c r="Z46" s="44"/>
      <c r="AA46" s="44"/>
      <c r="AB46" s="44"/>
      <c r="AC46" s="44"/>
      <c r="AD46" s="44"/>
      <c r="AE46" s="44"/>
      <c r="AF46" s="44"/>
      <c r="AG46" s="44"/>
      <c r="AH46" s="44"/>
      <c r="AI46" s="44"/>
      <c r="AJ46" s="44"/>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5" x14ac:dyDescent="0.3">
      <c r="B47" s="155" t="s">
        <v>391</v>
      </c>
      <c r="K47" s="38" t="s">
        <v>329</v>
      </c>
      <c r="L47" s="38" t="s">
        <v>201</v>
      </c>
      <c r="O47" s="259"/>
      <c r="Q47" s="133"/>
      <c r="R47" s="221" t="s">
        <v>350</v>
      </c>
      <c r="S47" s="225"/>
      <c r="T47" s="44" t="s">
        <v>275</v>
      </c>
      <c r="U47" s="44" t="s">
        <v>351</v>
      </c>
      <c r="V47" s="44" t="s">
        <v>352</v>
      </c>
      <c r="W47" s="44"/>
      <c r="X47" s="225"/>
      <c r="Y47" s="225"/>
      <c r="Z47" s="225"/>
      <c r="AA47" s="225"/>
      <c r="AB47" s="225"/>
      <c r="AC47" s="225"/>
      <c r="AD47" s="225"/>
      <c r="AE47" s="225"/>
      <c r="AF47" s="225"/>
      <c r="AG47" s="225"/>
      <c r="AH47" s="225"/>
      <c r="AI47" s="225"/>
      <c r="AJ47" s="225"/>
      <c r="AK47" s="108"/>
      <c r="AL47" s="108"/>
      <c r="AM47" s="108"/>
      <c r="AN47" s="108"/>
      <c r="AO47" s="108"/>
      <c r="AP47" s="108"/>
      <c r="AQ47" s="108"/>
      <c r="AR47" s="108"/>
      <c r="AS47" s="108"/>
      <c r="AT47" s="108"/>
      <c r="AU47" s="108"/>
      <c r="AV47" s="108"/>
      <c r="AW47" s="108"/>
      <c r="AX47" s="108"/>
      <c r="AY47" s="108"/>
      <c r="AZ47" s="108"/>
      <c r="BA47" s="108"/>
      <c r="BB47" s="108"/>
      <c r="BC47" s="108"/>
      <c r="BD47" s="108"/>
      <c r="BE47" s="108"/>
    </row>
    <row r="48" spans="2:57" s="31" customFormat="1" ht="15.5" x14ac:dyDescent="0.3">
      <c r="B48" s="45" t="s">
        <v>510</v>
      </c>
      <c r="C48" s="392" t="s">
        <v>128</v>
      </c>
      <c r="D48" s="393"/>
      <c r="E48" s="393"/>
      <c r="F48" s="393"/>
      <c r="G48" s="394"/>
      <c r="J48" s="33" t="s">
        <v>470</v>
      </c>
      <c r="K48" s="110">
        <f>IF(ISNUMBER(L48),L48,IF(OR(C48=Pudotusvalikot!$D$67,C48=Pudotusvalikot!$D$68),"--",VLOOKUP(C48,Kalusto!$C$5:$E$42,3,FALSE)*IF(OR(C49=Pudotusvalikot!$V$3,C49=Pudotusvalikot!$V$4),Muut!$E$38,IF(C49=Pudotusvalikot!$V$5,Muut!$E$39,IF(C49=Pudotusvalikot!$V$6,Muut!$E$40,Muut!$E$41)))))</f>
        <v>34.130000000000003</v>
      </c>
      <c r="L48" s="40"/>
      <c r="M48" s="41" t="s">
        <v>205</v>
      </c>
      <c r="N48" s="41"/>
      <c r="O48" s="265"/>
      <c r="P48" s="60"/>
      <c r="Q48" s="35"/>
      <c r="R48" s="218" t="str">
        <f>IF(ISNUMBER(K48*V48),K48*V48,"")</f>
        <v/>
      </c>
      <c r="S48" s="232" t="s">
        <v>172</v>
      </c>
      <c r="T48" s="218" t="str">
        <f>IF(ISNUMBER(C50),C50,"")</f>
        <v/>
      </c>
      <c r="U48" s="224" t="str">
        <f>IF(D50="h","",IF(ISNUMBER(C50),C50,""))</f>
        <v/>
      </c>
      <c r="V48" s="218" t="str">
        <f>IF(ISNUMBER(T48),IF(D50="h",C50,IF(ISNUMBER(T48*U48),IF(D50="m3/h",T48/U48,T48*U48),"")),"")</f>
        <v/>
      </c>
      <c r="W48" s="225"/>
      <c r="X48" s="221"/>
      <c r="Y48" s="44"/>
      <c r="Z48" s="44"/>
      <c r="AA48" s="44"/>
      <c r="AB48" s="44"/>
      <c r="AC48" s="44"/>
      <c r="AD48" s="44"/>
      <c r="AE48" s="44"/>
      <c r="AF48" s="44"/>
      <c r="AG48" s="44"/>
      <c r="AH48" s="44"/>
      <c r="AI48" s="44"/>
      <c r="AJ48" s="44"/>
      <c r="AK48" s="36"/>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5" x14ac:dyDescent="0.3">
      <c r="B49" s="170" t="s">
        <v>509</v>
      </c>
      <c r="C49" s="160" t="s">
        <v>242</v>
      </c>
      <c r="D49" s="34"/>
      <c r="E49" s="34"/>
      <c r="F49" s="34"/>
      <c r="G49" s="34"/>
      <c r="J49" s="33"/>
      <c r="K49" s="33"/>
      <c r="L49" s="33"/>
      <c r="M49" s="33"/>
      <c r="N49" s="33"/>
      <c r="O49" s="271"/>
      <c r="P49" s="60"/>
      <c r="Q49" s="35"/>
      <c r="R49" s="221"/>
      <c r="S49" s="232"/>
      <c r="T49" s="221"/>
      <c r="U49" s="226"/>
      <c r="V49" s="221"/>
      <c r="W49" s="225"/>
      <c r="X49" s="221"/>
      <c r="Y49" s="44"/>
      <c r="Z49" s="44"/>
      <c r="AA49" s="44"/>
      <c r="AB49" s="44"/>
      <c r="AC49" s="44"/>
      <c r="AD49" s="44"/>
      <c r="AE49" s="44"/>
      <c r="AF49" s="44"/>
      <c r="AG49" s="44"/>
      <c r="AH49" s="44"/>
      <c r="AI49" s="44"/>
      <c r="AJ49" s="44"/>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5" x14ac:dyDescent="0.3">
      <c r="B50" s="45" t="s">
        <v>392</v>
      </c>
      <c r="C50" s="159"/>
      <c r="D50" s="84" t="s">
        <v>51</v>
      </c>
      <c r="E50" s="34"/>
      <c r="F50" s="34"/>
      <c r="G50" s="34"/>
      <c r="J50" s="33"/>
      <c r="K50" s="34"/>
      <c r="L50" s="34"/>
      <c r="M50" s="84"/>
      <c r="N50" s="84"/>
      <c r="O50" s="100"/>
      <c r="P50" s="42"/>
      <c r="Q50" s="52"/>
      <c r="R50" s="240"/>
      <c r="S50" s="44"/>
      <c r="T50" s="44"/>
      <c r="U50" s="44"/>
      <c r="V50" s="44"/>
      <c r="W50" s="44"/>
      <c r="X50" s="44"/>
      <c r="Y50" s="44"/>
      <c r="Z50" s="44"/>
      <c r="AA50" s="44"/>
      <c r="AB50" s="44"/>
      <c r="AC50" s="44"/>
      <c r="AD50" s="44"/>
      <c r="AE50" s="44"/>
      <c r="AF50" s="44"/>
      <c r="AG50" s="44"/>
      <c r="AH50" s="44"/>
      <c r="AI50" s="44"/>
      <c r="AJ50" s="44"/>
      <c r="AK50" s="36"/>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5" x14ac:dyDescent="0.3">
      <c r="C51" s="80"/>
      <c r="D51" s="84"/>
      <c r="G51" s="34"/>
      <c r="H51" s="84"/>
      <c r="J51" s="33"/>
      <c r="K51" s="34"/>
      <c r="L51" s="34"/>
      <c r="M51" s="84"/>
      <c r="N51" s="84"/>
      <c r="O51" s="84"/>
      <c r="Q51" s="35"/>
      <c r="R51" s="240"/>
      <c r="S51" s="44"/>
      <c r="T51" s="44"/>
      <c r="U51" s="44"/>
      <c r="V51" s="44"/>
      <c r="W51" s="44"/>
      <c r="X51" s="44"/>
      <c r="Y51" s="44"/>
      <c r="Z51" s="44"/>
      <c r="AA51" s="44"/>
      <c r="AB51" s="44"/>
      <c r="AC51" s="44"/>
      <c r="AD51" s="44"/>
      <c r="AE51" s="44"/>
      <c r="AF51" s="44"/>
      <c r="AG51" s="44"/>
      <c r="AH51" s="44"/>
      <c r="AI51" s="44"/>
      <c r="AJ51" s="44"/>
      <c r="AK51" s="36"/>
      <c r="AL51" s="36"/>
      <c r="AM51" s="36"/>
      <c r="AN51" s="37"/>
      <c r="AO51" s="37"/>
      <c r="AP51" s="37"/>
      <c r="AQ51" s="37"/>
      <c r="AR51" s="37"/>
      <c r="AS51" s="37"/>
      <c r="AT51" s="37"/>
      <c r="AU51" s="37"/>
      <c r="AV51" s="37"/>
      <c r="AW51" s="37"/>
      <c r="AX51" s="37"/>
      <c r="AY51" s="37"/>
      <c r="AZ51" s="37"/>
      <c r="BA51" s="37"/>
      <c r="BB51" s="37"/>
      <c r="BC51" s="37"/>
      <c r="BD51" s="37"/>
      <c r="BE51" s="37"/>
    </row>
    <row r="52" spans="2:57" s="298" customFormat="1" ht="18" x14ac:dyDescent="0.3">
      <c r="B52" s="295" t="s">
        <v>591</v>
      </c>
      <c r="C52" s="296"/>
      <c r="D52" s="297"/>
      <c r="G52" s="296"/>
      <c r="H52" s="297"/>
      <c r="K52" s="296"/>
      <c r="L52" s="296"/>
      <c r="M52" s="297"/>
      <c r="N52" s="297"/>
      <c r="O52" s="300"/>
      <c r="P52" s="320"/>
      <c r="Q52" s="304"/>
      <c r="S52" s="303"/>
      <c r="T52" s="303"/>
      <c r="U52" s="303"/>
      <c r="V52" s="303"/>
      <c r="W52" s="303"/>
      <c r="X52" s="303"/>
      <c r="Y52" s="303"/>
      <c r="Z52" s="303"/>
      <c r="AA52" s="303"/>
      <c r="AB52" s="303"/>
      <c r="AC52" s="303"/>
      <c r="AD52" s="303"/>
      <c r="AE52" s="303"/>
      <c r="AF52" s="303"/>
      <c r="AG52" s="303"/>
      <c r="AH52" s="303"/>
      <c r="AI52" s="303"/>
      <c r="AJ52" s="303"/>
      <c r="AK52" s="303"/>
      <c r="AL52" s="303"/>
      <c r="AM52" s="303"/>
      <c r="AN52" s="304"/>
      <c r="AO52" s="304"/>
      <c r="AP52" s="304"/>
      <c r="AQ52" s="304"/>
      <c r="AR52" s="304"/>
      <c r="AS52" s="304"/>
      <c r="AT52" s="304"/>
      <c r="AU52" s="304"/>
      <c r="AV52" s="304"/>
      <c r="AW52" s="304"/>
      <c r="AX52" s="304"/>
      <c r="AY52" s="304"/>
      <c r="AZ52" s="304"/>
      <c r="BA52" s="304"/>
      <c r="BB52" s="304"/>
      <c r="BC52" s="304"/>
      <c r="BD52" s="304"/>
      <c r="BE52" s="304"/>
    </row>
    <row r="53" spans="2:57" s="31" customFormat="1" ht="15.5" x14ac:dyDescent="0.3">
      <c r="B53" s="9"/>
      <c r="C53" s="34"/>
      <c r="D53" s="84"/>
      <c r="E53" s="34"/>
      <c r="F53" s="34"/>
      <c r="G53" s="38"/>
      <c r="H53" s="84"/>
      <c r="J53" s="33"/>
      <c r="K53" s="38"/>
      <c r="L53" s="38"/>
      <c r="M53" s="86"/>
      <c r="N53" s="86"/>
      <c r="O53" s="86"/>
      <c r="P53" s="38"/>
      <c r="Q53" s="35"/>
      <c r="R53" s="106"/>
      <c r="S53" s="44"/>
      <c r="T53" s="44"/>
      <c r="U53" s="44"/>
      <c r="V53" s="44"/>
      <c r="W53" s="44"/>
      <c r="X53" s="44"/>
      <c r="Y53" s="44"/>
      <c r="Z53" s="44"/>
      <c r="AA53" s="44"/>
      <c r="AB53" s="44"/>
      <c r="AC53" s="44"/>
      <c r="AD53" s="44"/>
      <c r="AE53" s="44"/>
      <c r="AF53" s="44"/>
      <c r="AG53" s="44"/>
      <c r="AH53" s="44"/>
      <c r="AI53" s="44"/>
      <c r="AJ53" s="44"/>
      <c r="AK53" s="36"/>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5" x14ac:dyDescent="0.3">
      <c r="B54" s="155" t="s">
        <v>457</v>
      </c>
      <c r="C54" s="34" t="s">
        <v>50</v>
      </c>
      <c r="D54" s="84"/>
      <c r="E54" s="34"/>
      <c r="F54" s="34"/>
      <c r="G54" s="38" t="s">
        <v>199</v>
      </c>
      <c r="H54" s="84"/>
      <c r="J54" s="33"/>
      <c r="K54" s="38" t="s">
        <v>329</v>
      </c>
      <c r="L54" s="38" t="s">
        <v>201</v>
      </c>
      <c r="M54" s="86"/>
      <c r="N54" s="86"/>
      <c r="O54" s="255" t="s">
        <v>644</v>
      </c>
      <c r="P54" s="38"/>
      <c r="Q54" s="35"/>
      <c r="R54" s="221" t="s">
        <v>350</v>
      </c>
      <c r="S54" s="44"/>
      <c r="T54" s="44" t="s">
        <v>446</v>
      </c>
      <c r="U54" s="44" t="s">
        <v>445</v>
      </c>
      <c r="V54" s="44" t="s">
        <v>443</v>
      </c>
      <c r="W54" s="44" t="s">
        <v>444</v>
      </c>
      <c r="X54" s="44" t="s">
        <v>447</v>
      </c>
      <c r="Y54" s="44" t="s">
        <v>449</v>
      </c>
      <c r="Z54" s="44" t="s">
        <v>448</v>
      </c>
      <c r="AA54" s="44" t="s">
        <v>202</v>
      </c>
      <c r="AB54" s="44" t="s">
        <v>380</v>
      </c>
      <c r="AC54" s="44" t="s">
        <v>450</v>
      </c>
      <c r="AD54" s="44" t="s">
        <v>381</v>
      </c>
      <c r="AE54" s="44" t="s">
        <v>451</v>
      </c>
      <c r="AF54" s="44" t="s">
        <v>452</v>
      </c>
      <c r="AG54" s="44" t="s">
        <v>638</v>
      </c>
      <c r="AH54" s="44" t="s">
        <v>206</v>
      </c>
      <c r="AI54" s="44" t="s">
        <v>278</v>
      </c>
      <c r="AJ54" s="44" t="s">
        <v>207</v>
      </c>
      <c r="AK54" s="108"/>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46.5" x14ac:dyDescent="0.3">
      <c r="B55" s="170" t="s">
        <v>513</v>
      </c>
      <c r="C55" s="160"/>
      <c r="D55" s="89" t="s">
        <v>175</v>
      </c>
      <c r="E55" s="176"/>
      <c r="F55" s="57"/>
      <c r="G55" s="161"/>
      <c r="H55" s="84" t="str">
        <f>IF(D55="t","t/t","t/m3")</f>
        <v>t/m3</v>
      </c>
      <c r="I55" s="170"/>
      <c r="J55" s="173" t="s">
        <v>441</v>
      </c>
      <c r="K55" s="96">
        <f>IF(ISNUMBER(L55),L55,IF(OR(C56=Pudotusvalikot!$D$14,C56=Pudotusvalikot!$D$15),Kalusto!$G$96,VLOOKUP(C56,Kalusto!$C$44:$G$83,5,FALSE))*IF(OR(C57=Pudotusvalikot!$V$3,C57=Pudotusvalikot!$V$4),Muut!$E$38,IF(C57=Pudotusvalikot!$V$5,Muut!$E$39,IF(C57=Pudotusvalikot!$V$6,Muut!$E$40,Muut!$E$41))))</f>
        <v>6.1090000000000005E-2</v>
      </c>
      <c r="L55" s="40"/>
      <c r="M55" s="41" t="s">
        <v>200</v>
      </c>
      <c r="N55" s="41"/>
      <c r="O55" s="256"/>
      <c r="Q55" s="47"/>
      <c r="R55" s="218" t="str">
        <f ca="1">IF(AND(NOT(ISNUMBER(AB55)),NOT(ISNUMBER(AG55))),"",IF(ISNUMBER(AB55),AB55,0)+IF(ISNUMBER(AG55),AG55,0))</f>
        <v/>
      </c>
      <c r="S55" s="232" t="s">
        <v>172</v>
      </c>
      <c r="T55" s="216" t="str">
        <f>IF(ISNUMBER(L55),"Kohdetieto",IF(OR(C56=Pudotusvalikot!$D$14,C56=Pudotusvalikot!$D$15),Kalusto!$I$96,VLOOKUP(C56,Kalusto!$C$44:$L$83,7,FALSE)))</f>
        <v>Maansiirtoauto</v>
      </c>
      <c r="U55" s="216">
        <f>IF(ISNUMBER(L55),"Kohdetieto",IF(OR(C56=Pudotusvalikot!$D$14,C56=Pudotusvalikot!$D$15),Kalusto!$J$96,VLOOKUP(C56,Kalusto!$C$44:$L$83,8,FALSE)))</f>
        <v>32</v>
      </c>
      <c r="V55" s="217">
        <f>IF(ISNUMBER(L55),"Kohdetieto",IF(OR(C56=Pudotusvalikot!$D$14,C56=Pudotusvalikot!$D$15),Kalusto!$K$96,VLOOKUP(C56,Kalusto!$C$44:$L$83,9,FALSE)))</f>
        <v>0.8</v>
      </c>
      <c r="W55" s="217" t="str">
        <f>IF(ISNUMBER(L55),"Kohdetieto",IF(OR(C56=Pudotusvalikot!$D$14,C56=Pudotusvalikot!$D$15),Kalusto!$L$96,VLOOKUP(C56,Kalusto!$C$44:$L$83,10,FALSE)))</f>
        <v>maantieajo</v>
      </c>
      <c r="X55" s="218" t="str">
        <f>IF(ISBLANK(C55),"",IF(D55="t",C55,C55*G55))</f>
        <v/>
      </c>
      <c r="Y55" s="216" t="str">
        <f>IF(ISNUMBER(C58),C58,"")</f>
        <v/>
      </c>
      <c r="Z55" s="218" t="str">
        <f>IF(ISNUMBER(X55/(U55*V55)*Y55),X55/(U55*V55)*Y55,"")</f>
        <v/>
      </c>
      <c r="AA55" s="219">
        <f>IF(ISNUMBER(L55),L55,K55)</f>
        <v>6.1090000000000005E-2</v>
      </c>
      <c r="AB55" s="218" t="str">
        <f>IF(ISNUMBER(Y55*X55*K55),Y55*X55*K55,"")</f>
        <v/>
      </c>
      <c r="AC55" s="218" t="str">
        <f>IF(C80="Kyllä",Y55,"")</f>
        <v/>
      </c>
      <c r="AD55" s="218" t="str">
        <f>IF(C80="Kyllä",IF(ISNUMBER(X55/(U55*V55)),X55/(U55*V55),""),"")</f>
        <v/>
      </c>
      <c r="AE55" s="218" t="str">
        <f>IF(ISNUMBER(AD55*AC55),AD55*AC55,"")</f>
        <v/>
      </c>
      <c r="AF55" s="219">
        <f ca="1">IF(ISNUMBER(L56),L56,K56)</f>
        <v>0.71940999999999999</v>
      </c>
      <c r="AG55" s="218" t="str">
        <f ca="1">IF(ISNUMBER(AC55*AD55*K56),AC55*AD55*K56,"")</f>
        <v/>
      </c>
      <c r="AH55" s="216">
        <f>IF(T55="Jakelukuorma-auto",0,IF(T55="Maansiirtoauto",4,IF(T55="Puoliperävaunu",6,8)))</f>
        <v>4</v>
      </c>
      <c r="AI55" s="216">
        <f>IF(AND(T55="Jakelukuorma-auto",U55=6),0,IF(AND(T55="Jakelukuorma-auto",U55=15),2,0))</f>
        <v>0</v>
      </c>
      <c r="AJ55" s="216">
        <f>IF(W55="maantieajo",0,1)</f>
        <v>0</v>
      </c>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31" x14ac:dyDescent="0.3">
      <c r="B56" s="170" t="s">
        <v>512</v>
      </c>
      <c r="C56" s="392" t="s">
        <v>84</v>
      </c>
      <c r="D56" s="393"/>
      <c r="E56" s="393"/>
      <c r="F56" s="393"/>
      <c r="G56" s="394"/>
      <c r="H56" s="54"/>
      <c r="J56" s="33" t="s">
        <v>442</v>
      </c>
      <c r="K56" s="96">
        <f ca="1">IF(ISNUMBER(L56),L56,IF($C$109="Ei","",IF(AND($C$109="Kyllä",OR(C56=Pudotusvalikot!$D$14,C56=Pudotusvalikot!$D$15)),Kalusto!$G$97,OFFSET(Kalusto!$G$85,AH55+AJ55+AI55,0,1,1)))*IF(OR(C57=Pudotusvalikot!$V$3,C57=Pudotusvalikot!$V$4),Muut!$E$38,IF(C57=Pudotusvalikot!$V$5,Muut!$E$39,IF(C57=Pudotusvalikot!$V$6,Muut!$E$40,Muut!$E$41))))</f>
        <v>0.71940999999999999</v>
      </c>
      <c r="L56" s="40"/>
      <c r="M56" s="41" t="s">
        <v>204</v>
      </c>
      <c r="N56" s="41"/>
      <c r="O56" s="265"/>
      <c r="P56" s="34"/>
      <c r="Q56" s="52"/>
      <c r="R56" s="44"/>
      <c r="S56" s="44"/>
      <c r="T56" s="44"/>
      <c r="U56" s="44"/>
      <c r="V56" s="44"/>
      <c r="W56" s="44"/>
      <c r="X56" s="44"/>
      <c r="Y56" s="44"/>
      <c r="Z56" s="44"/>
      <c r="AA56" s="44"/>
      <c r="AB56" s="44"/>
      <c r="AC56" s="44"/>
      <c r="AD56" s="44"/>
      <c r="AE56" s="44"/>
      <c r="AF56" s="44"/>
      <c r="AG56" s="44"/>
      <c r="AH56" s="44"/>
      <c r="AI56" s="44"/>
      <c r="AJ56" s="44"/>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15.5" x14ac:dyDescent="0.3">
      <c r="B57" s="186" t="s">
        <v>506</v>
      </c>
      <c r="C57" s="160" t="s">
        <v>242</v>
      </c>
      <c r="D57" s="34"/>
      <c r="E57" s="34"/>
      <c r="F57" s="34"/>
      <c r="G57" s="34"/>
      <c r="H57" s="59"/>
      <c r="J57" s="173"/>
      <c r="K57" s="173"/>
      <c r="L57" s="173"/>
      <c r="M57" s="41"/>
      <c r="N57" s="41"/>
      <c r="O57" s="265"/>
      <c r="Q57" s="47"/>
      <c r="R57" s="232"/>
      <c r="S57" s="232"/>
      <c r="T57" s="44"/>
      <c r="U57" s="44"/>
      <c r="V57" s="220"/>
      <c r="W57" s="220"/>
      <c r="X57" s="221"/>
      <c r="Y57" s="44"/>
      <c r="Z57" s="221"/>
      <c r="AA57" s="222"/>
      <c r="AB57" s="221"/>
      <c r="AC57" s="221"/>
      <c r="AD57" s="221"/>
      <c r="AE57" s="221"/>
      <c r="AF57" s="222"/>
      <c r="AG57" s="221"/>
      <c r="AH57" s="44"/>
      <c r="AI57" s="44"/>
      <c r="AJ57" s="44"/>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5" x14ac:dyDescent="0.3">
      <c r="B58" s="45" t="s">
        <v>514</v>
      </c>
      <c r="C58" s="160"/>
      <c r="D58" s="84" t="s">
        <v>5</v>
      </c>
      <c r="G58" s="34"/>
      <c r="H58" s="54"/>
      <c r="J58" s="53"/>
      <c r="K58" s="34"/>
      <c r="L58" s="34"/>
      <c r="M58" s="84"/>
      <c r="N58" s="84"/>
      <c r="O58" s="100"/>
      <c r="P58" s="53"/>
      <c r="Q58" s="52"/>
      <c r="R58" s="44"/>
      <c r="S58" s="44"/>
      <c r="T58" s="44"/>
      <c r="U58" s="44"/>
      <c r="V58" s="44"/>
      <c r="W58" s="44"/>
      <c r="X58" s="44"/>
      <c r="Y58" s="44"/>
      <c r="Z58" s="44"/>
      <c r="AA58" s="44"/>
      <c r="AB58" s="44"/>
      <c r="AC58" s="44"/>
      <c r="AD58" s="44"/>
      <c r="AE58" s="44"/>
      <c r="AF58" s="44"/>
      <c r="AG58" s="44"/>
      <c r="AH58" s="44"/>
      <c r="AI58" s="44"/>
      <c r="AJ58" s="44"/>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5" x14ac:dyDescent="0.3">
      <c r="B59" s="155" t="s">
        <v>458</v>
      </c>
      <c r="C59" s="34"/>
      <c r="D59" s="84"/>
      <c r="G59" s="34"/>
      <c r="H59" s="84"/>
      <c r="J59" s="33"/>
      <c r="K59" s="38" t="s">
        <v>329</v>
      </c>
      <c r="L59" s="38" t="s">
        <v>201</v>
      </c>
      <c r="M59" s="84"/>
      <c r="N59" s="84"/>
      <c r="O59" s="100"/>
      <c r="P59" s="34"/>
      <c r="Q59" s="35"/>
      <c r="R59" s="221" t="s">
        <v>350</v>
      </c>
      <c r="S59" s="44"/>
      <c r="T59" s="44" t="s">
        <v>446</v>
      </c>
      <c r="U59" s="44" t="s">
        <v>445</v>
      </c>
      <c r="V59" s="44" t="s">
        <v>443</v>
      </c>
      <c r="W59" s="44" t="s">
        <v>444</v>
      </c>
      <c r="X59" s="44" t="s">
        <v>447</v>
      </c>
      <c r="Y59" s="44" t="s">
        <v>449</v>
      </c>
      <c r="Z59" s="44" t="s">
        <v>448</v>
      </c>
      <c r="AA59" s="44" t="s">
        <v>202</v>
      </c>
      <c r="AB59" s="44" t="s">
        <v>380</v>
      </c>
      <c r="AC59" s="44" t="s">
        <v>450</v>
      </c>
      <c r="AD59" s="44" t="s">
        <v>381</v>
      </c>
      <c r="AE59" s="44" t="s">
        <v>451</v>
      </c>
      <c r="AF59" s="44" t="s">
        <v>452</v>
      </c>
      <c r="AG59" s="44" t="s">
        <v>638</v>
      </c>
      <c r="AH59" s="44" t="s">
        <v>206</v>
      </c>
      <c r="AI59" s="44" t="s">
        <v>278</v>
      </c>
      <c r="AJ59" s="44" t="s">
        <v>207</v>
      </c>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46.5" x14ac:dyDescent="0.3">
      <c r="B60" s="170" t="s">
        <v>513</v>
      </c>
      <c r="C60" s="161"/>
      <c r="D60" s="89" t="s">
        <v>435</v>
      </c>
      <c r="E60" s="176"/>
      <c r="F60" s="57"/>
      <c r="G60" s="161"/>
      <c r="H60" s="84" t="str">
        <f>IF(D60="t","t/t","t/m3")</f>
        <v>t/m3</v>
      </c>
      <c r="J60" s="173" t="s">
        <v>441</v>
      </c>
      <c r="K60" s="96">
        <f>IF(ISNUMBER(L60),L60,IF(OR(C61=Pudotusvalikot!$D$14,C61=Pudotusvalikot!$D$15),Kalusto!$G$96,VLOOKUP(C61,Kalusto!$C$44:$G$83,5,FALSE))*IF(OR(C62=Pudotusvalikot!$V$3,C62=Pudotusvalikot!$V$4),Muut!$E$38,IF(C62=Pudotusvalikot!$V$5,Muut!$E$39,IF(C57=Pudotusvalikot!$V$6,Muut!$E$40,Muut!$E$41))))</f>
        <v>6.1090000000000005E-2</v>
      </c>
      <c r="L60" s="40"/>
      <c r="M60" s="41" t="s">
        <v>200</v>
      </c>
      <c r="N60" s="41"/>
      <c r="O60" s="265"/>
      <c r="Q60" s="47"/>
      <c r="R60" s="218" t="str">
        <f ca="1">IF(AND(NOT(ISNUMBER(AB60)),NOT(ISNUMBER(AG60))),"",IF(ISNUMBER(AB60),AB60,0)+IF(ISNUMBER(AG60),AG60,0))</f>
        <v/>
      </c>
      <c r="S60" s="232" t="s">
        <v>172</v>
      </c>
      <c r="T60" s="216" t="str">
        <f>IF(ISNUMBER(L60),"Kohdetieto",IF(OR(C61=Pudotusvalikot!$D$14,C61=Pudotusvalikot!$D$15),Kalusto!$I$96,VLOOKUP(C61,Kalusto!$C$44:$L$83,7,FALSE)))</f>
        <v>Maansiirtoauto</v>
      </c>
      <c r="U60" s="216">
        <f>IF(ISNUMBER(L60),"Kohdetieto",IF(OR(C61=Pudotusvalikot!$D$14,C61=Pudotusvalikot!$D$15),Kalusto!$J$96,VLOOKUP(C61,Kalusto!$C$44:$L$83,8,FALSE)))</f>
        <v>32</v>
      </c>
      <c r="V60" s="217">
        <f>IF(ISNUMBER(L60),"Kohdetieto",IF(OR(C61=Pudotusvalikot!$D$14,C61=Pudotusvalikot!$D$15),Kalusto!$K$96,VLOOKUP(C61,Kalusto!$C$44:$L$83,9,FALSE)))</f>
        <v>0.8</v>
      </c>
      <c r="W60" s="217" t="str">
        <f>IF(ISNUMBER(L60),"Kohdetieto",IF(OR(C61=Pudotusvalikot!$D$14,C61=Pudotusvalikot!$D$15),Kalusto!$L$96,VLOOKUP(C61,Kalusto!$C$44:$L$83,10,FALSE)))</f>
        <v>maantieajo</v>
      </c>
      <c r="X60" s="218" t="str">
        <f>IF(ISBLANK(C60),"",IF(D60="t",C60,C60*G60))</f>
        <v/>
      </c>
      <c r="Y60" s="216" t="str">
        <f>IF(ISNUMBER(C63),C63,"")</f>
        <v/>
      </c>
      <c r="Z60" s="218" t="str">
        <f>IF(ISNUMBER(X60/(U60*V60)*Y60),X60/(U60*V60)*Y60,"")</f>
        <v/>
      </c>
      <c r="AA60" s="219">
        <f>IF(ISNUMBER(L60),L60,K60)</f>
        <v>6.1090000000000005E-2</v>
      </c>
      <c r="AB60" s="218" t="str">
        <f>IF(ISNUMBER(Y60*X60*K60),Y60*X60*K60,"")</f>
        <v/>
      </c>
      <c r="AC60" s="218" t="str">
        <f>IF(C80="Kyllä",Y60,"")</f>
        <v/>
      </c>
      <c r="AD60" s="218" t="str">
        <f>IF(C80="Kyllä",IF(ISNUMBER(X60/(U60*V60)),X60/(U60*V60),""),"")</f>
        <v/>
      </c>
      <c r="AE60" s="218" t="str">
        <f>IF(ISNUMBER(AD60*AC60),AD60*AC60,"")</f>
        <v/>
      </c>
      <c r="AF60" s="219">
        <f ca="1">IF(ISNUMBER(L61),L61,K61)</f>
        <v>0.71940999999999999</v>
      </c>
      <c r="AG60" s="218" t="str">
        <f ca="1">IF(ISNUMBER(AC60*AD60*K61),AC60*AD60*K61,"")</f>
        <v/>
      </c>
      <c r="AH60" s="216">
        <f>IF(T60="Jakelukuorma-auto",0,IF(T60="Maansiirtoauto",4,IF(T60="Puoliperävaunu",6,8)))</f>
        <v>4</v>
      </c>
      <c r="AI60" s="216">
        <f>IF(AND(T60="Jakelukuorma-auto",U60=6),0,IF(AND(T60="Jakelukuorma-auto",U60=15),2,0))</f>
        <v>0</v>
      </c>
      <c r="AJ60" s="216">
        <f>IF(W60="maantieajo",0,1)</f>
        <v>0</v>
      </c>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31" x14ac:dyDescent="0.3">
      <c r="B61" s="170" t="s">
        <v>512</v>
      </c>
      <c r="C61" s="392" t="s">
        <v>84</v>
      </c>
      <c r="D61" s="393"/>
      <c r="E61" s="393"/>
      <c r="F61" s="393"/>
      <c r="G61" s="394"/>
      <c r="H61" s="84"/>
      <c r="J61" s="33" t="s">
        <v>442</v>
      </c>
      <c r="K61" s="96">
        <f ca="1">IF(ISNUMBER(L61),L61,IF($C$109="Ei","",IF(AND($C$109="Kyllä",OR(C61=Pudotusvalikot!$D$14,C61=Pudotusvalikot!$D$15)),Kalusto!$G$97,OFFSET(Kalusto!$G$85,AH60+AJ60+AI60,0,1,1)))*IF(OR(C62=Pudotusvalikot!$V$3,C62=Pudotusvalikot!$V$4),Muut!$E$38,IF(C62=Pudotusvalikot!$V$5,Muut!$E$39,IF(C57=Pudotusvalikot!$V$6,Muut!$E$40,Muut!$E$41))))</f>
        <v>0.71940999999999999</v>
      </c>
      <c r="L61" s="40"/>
      <c r="M61" s="41" t="s">
        <v>204</v>
      </c>
      <c r="N61" s="41"/>
      <c r="O61" s="265"/>
      <c r="P61" s="34"/>
      <c r="Q61" s="52"/>
      <c r="R61" s="44"/>
      <c r="S61" s="44"/>
      <c r="T61" s="44"/>
      <c r="U61" s="44"/>
      <c r="V61" s="44"/>
      <c r="W61" s="44"/>
      <c r="X61" s="44"/>
      <c r="Y61" s="44"/>
      <c r="Z61" s="44"/>
      <c r="AA61" s="44"/>
      <c r="AB61" s="44"/>
      <c r="AC61" s="44"/>
      <c r="AD61" s="44"/>
      <c r="AE61" s="44"/>
      <c r="AF61" s="44"/>
      <c r="AG61" s="44"/>
      <c r="AH61" s="44"/>
      <c r="AI61" s="44"/>
      <c r="AJ61" s="44"/>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15.5" x14ac:dyDescent="0.3">
      <c r="B62" s="186" t="s">
        <v>506</v>
      </c>
      <c r="C62" s="160" t="s">
        <v>242</v>
      </c>
      <c r="D62" s="34"/>
      <c r="E62" s="34"/>
      <c r="F62" s="34"/>
      <c r="G62" s="34"/>
      <c r="H62" s="59"/>
      <c r="J62" s="173"/>
      <c r="K62" s="173"/>
      <c r="L62" s="173"/>
      <c r="M62" s="41"/>
      <c r="N62" s="41"/>
      <c r="O62" s="265"/>
      <c r="Q62" s="47"/>
      <c r="R62" s="232"/>
      <c r="S62" s="232"/>
      <c r="T62" s="44"/>
      <c r="U62" s="44"/>
      <c r="V62" s="220"/>
      <c r="W62" s="220"/>
      <c r="X62" s="221"/>
      <c r="Y62" s="44"/>
      <c r="Z62" s="221"/>
      <c r="AA62" s="222"/>
      <c r="AB62" s="221"/>
      <c r="AC62" s="221"/>
      <c r="AD62" s="221"/>
      <c r="AE62" s="221"/>
      <c r="AF62" s="222"/>
      <c r="AG62" s="221"/>
      <c r="AH62" s="44"/>
      <c r="AI62" s="44"/>
      <c r="AJ62" s="44"/>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15.5" x14ac:dyDescent="0.3">
      <c r="B63" s="45" t="s">
        <v>514</v>
      </c>
      <c r="C63" s="162"/>
      <c r="D63" s="84" t="s">
        <v>5</v>
      </c>
      <c r="G63" s="34"/>
      <c r="H63" s="84"/>
      <c r="J63" s="53"/>
      <c r="K63" s="34"/>
      <c r="L63" s="34"/>
      <c r="M63" s="84"/>
      <c r="N63" s="84"/>
      <c r="O63" s="100"/>
      <c r="P63" s="53"/>
      <c r="Q63" s="52"/>
      <c r="R63" s="44"/>
      <c r="S63" s="44"/>
      <c r="T63" s="44"/>
      <c r="U63" s="44"/>
      <c r="V63" s="44"/>
      <c r="W63" s="44"/>
      <c r="X63" s="44"/>
      <c r="Y63" s="44"/>
      <c r="Z63" s="44"/>
      <c r="AA63" s="44"/>
      <c r="AB63" s="44"/>
      <c r="AC63" s="44"/>
      <c r="AD63" s="44"/>
      <c r="AE63" s="44"/>
      <c r="AF63" s="44"/>
      <c r="AG63" s="44"/>
      <c r="AH63" s="44"/>
      <c r="AI63" s="44"/>
      <c r="AJ63" s="44"/>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5" x14ac:dyDescent="0.3">
      <c r="B64" s="155" t="s">
        <v>459</v>
      </c>
      <c r="C64" s="34"/>
      <c r="D64" s="84"/>
      <c r="G64" s="34"/>
      <c r="H64" s="84"/>
      <c r="J64" s="33"/>
      <c r="K64" s="38" t="s">
        <v>329</v>
      </c>
      <c r="L64" s="38" t="s">
        <v>201</v>
      </c>
      <c r="M64" s="84"/>
      <c r="N64" s="84"/>
      <c r="O64" s="100"/>
      <c r="P64" s="34"/>
      <c r="Q64" s="35"/>
      <c r="R64" s="221" t="s">
        <v>350</v>
      </c>
      <c r="S64" s="44"/>
      <c r="T64" s="44" t="s">
        <v>446</v>
      </c>
      <c r="U64" s="44" t="s">
        <v>445</v>
      </c>
      <c r="V64" s="44" t="s">
        <v>443</v>
      </c>
      <c r="W64" s="44" t="s">
        <v>444</v>
      </c>
      <c r="X64" s="44" t="s">
        <v>447</v>
      </c>
      <c r="Y64" s="44" t="s">
        <v>449</v>
      </c>
      <c r="Z64" s="44" t="s">
        <v>448</v>
      </c>
      <c r="AA64" s="44" t="s">
        <v>202</v>
      </c>
      <c r="AB64" s="44" t="s">
        <v>380</v>
      </c>
      <c r="AC64" s="44" t="s">
        <v>450</v>
      </c>
      <c r="AD64" s="44" t="s">
        <v>381</v>
      </c>
      <c r="AE64" s="44" t="s">
        <v>451</v>
      </c>
      <c r="AF64" s="44" t="s">
        <v>452</v>
      </c>
      <c r="AG64" s="44" t="s">
        <v>638</v>
      </c>
      <c r="AH64" s="44" t="s">
        <v>206</v>
      </c>
      <c r="AI64" s="44" t="s">
        <v>278</v>
      </c>
      <c r="AJ64" s="44" t="s">
        <v>207</v>
      </c>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46.5" x14ac:dyDescent="0.3">
      <c r="B65" s="170" t="s">
        <v>513</v>
      </c>
      <c r="C65" s="161"/>
      <c r="D65" s="89" t="s">
        <v>175</v>
      </c>
      <c r="E65" s="176"/>
      <c r="F65" s="57"/>
      <c r="G65" s="161"/>
      <c r="H65" s="84" t="str">
        <f>IF(D65="t","t/t","t/m3")</f>
        <v>t/m3</v>
      </c>
      <c r="J65" s="173" t="s">
        <v>441</v>
      </c>
      <c r="K65" s="96">
        <f>IF(ISNUMBER(L65),L65,IF(OR(C66=Pudotusvalikot!$D$14,C66=Pudotusvalikot!$D$15),Kalusto!$G$96,VLOOKUP(C66,Kalusto!$C$44:$G$83,5,FALSE))*IF(OR(C67=Pudotusvalikot!$V$3,C67=Pudotusvalikot!$V$4),Muut!$E$38,IF(C67=Pudotusvalikot!$V$5,Muut!$E$39,IF(C67=Pudotusvalikot!$V$6,Muut!$E$40,Muut!$E$41))))</f>
        <v>6.1090000000000005E-2</v>
      </c>
      <c r="L65" s="40"/>
      <c r="M65" s="41" t="s">
        <v>200</v>
      </c>
      <c r="N65" s="41"/>
      <c r="O65" s="265"/>
      <c r="Q65" s="47"/>
      <c r="R65" s="218" t="str">
        <f ca="1">IF(AND(NOT(ISNUMBER(AB65)),NOT(ISNUMBER(AG65))),"",IF(ISNUMBER(AB65),AB65,0)+IF(ISNUMBER(AG65),AG65,0))</f>
        <v/>
      </c>
      <c r="S65" s="232" t="s">
        <v>172</v>
      </c>
      <c r="T65" s="216" t="str">
        <f>IF(ISNUMBER(L65),"Kohdetieto",IF(OR(C66=Pudotusvalikot!$D$14,C66=Pudotusvalikot!$D$15),Kalusto!$I$96,VLOOKUP(C66,Kalusto!$C$44:$L$83,7,FALSE)))</f>
        <v>Maansiirtoauto</v>
      </c>
      <c r="U65" s="216">
        <f>IF(ISNUMBER(L65),"Kohdetieto",IF(OR(C66=Pudotusvalikot!$D$14,C66=Pudotusvalikot!$D$15),Kalusto!$J$96,VLOOKUP(C66,Kalusto!$C$44:$L$83,8,FALSE)))</f>
        <v>32</v>
      </c>
      <c r="V65" s="217">
        <f>IF(ISNUMBER(L65),"Kohdetieto",IF(OR(C66=Pudotusvalikot!$D$14,C66=Pudotusvalikot!$D$15),Kalusto!$K$96,VLOOKUP(C66,Kalusto!$C$44:$L$83,9,FALSE)))</f>
        <v>0.8</v>
      </c>
      <c r="W65" s="217" t="str">
        <f>IF(ISNUMBER(L65),"Kohdetieto",IF(OR(C66=Pudotusvalikot!$D$14,C66=Pudotusvalikot!$D$15),Kalusto!$L$96,VLOOKUP(C66,Kalusto!$C$44:$L$83,10,FALSE)))</f>
        <v>maantieajo</v>
      </c>
      <c r="X65" s="218" t="str">
        <f>IF(ISBLANK(C65),"",IF(D65="t",C65,C65*G65))</f>
        <v/>
      </c>
      <c r="Y65" s="216" t="str">
        <f>IF(ISNUMBER(C68),C68,"")</f>
        <v/>
      </c>
      <c r="Z65" s="218" t="str">
        <f>IF(ISNUMBER(X65/(U65*V65)*Y65),X65/(U65*V65)*Y65,"")</f>
        <v/>
      </c>
      <c r="AA65" s="219">
        <f>IF(ISNUMBER(L65),L65,K65)</f>
        <v>6.1090000000000005E-2</v>
      </c>
      <c r="AB65" s="218" t="str">
        <f>IF(ISNUMBER(Y65*X65*K65),Y65*X65*K65,"")</f>
        <v/>
      </c>
      <c r="AC65" s="218" t="str">
        <f>IF(C80="Kyllä",Y65,"")</f>
        <v/>
      </c>
      <c r="AD65" s="218" t="str">
        <f>IF(C80="Kyllä",IF(ISNUMBER(X65/(U65*V65)),X65/(U65*V65),""),"")</f>
        <v/>
      </c>
      <c r="AE65" s="218" t="str">
        <f>IF(ISNUMBER(AD65*AC65),AD65*AC65,"")</f>
        <v/>
      </c>
      <c r="AF65" s="219">
        <f ca="1">IF(ISNUMBER(L66),L66,K66)</f>
        <v>0.71940999999999999</v>
      </c>
      <c r="AG65" s="218" t="str">
        <f ca="1">IF(ISNUMBER(AC65*AD65*K66),AC65*AD65*K66,"")</f>
        <v/>
      </c>
      <c r="AH65" s="216">
        <f>IF(T65="Jakelukuorma-auto",0,IF(T65="Maansiirtoauto",4,IF(T65="Puoliperävaunu",6,8)))</f>
        <v>4</v>
      </c>
      <c r="AI65" s="216">
        <f>IF(AND(T65="Jakelukuorma-auto",U65=6),0,IF(AND(T65="Jakelukuorma-auto",U65=15),2,0))</f>
        <v>0</v>
      </c>
      <c r="AJ65" s="216">
        <f>IF(W65="maantieajo",0,1)</f>
        <v>0</v>
      </c>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31" x14ac:dyDescent="0.3">
      <c r="B66" s="170" t="s">
        <v>512</v>
      </c>
      <c r="C66" s="392" t="s">
        <v>84</v>
      </c>
      <c r="D66" s="393"/>
      <c r="E66" s="393"/>
      <c r="F66" s="393"/>
      <c r="G66" s="394"/>
      <c r="H66" s="84"/>
      <c r="J66" s="33" t="s">
        <v>442</v>
      </c>
      <c r="K66" s="96">
        <f ca="1">IF(ISNUMBER(L66),L66,IF($C$109="Ei","",IF(AND($C$109="Kyllä",OR(C66=Pudotusvalikot!$D$14,C66=Pudotusvalikot!$D$15)),Kalusto!$G$97,OFFSET(Kalusto!$G$85,AH65+AJ65+AI65,0,1,1)))*IF(OR(C67=Pudotusvalikot!$V$3,C67=Pudotusvalikot!$V$4),Muut!$E$38,IF(C67=Pudotusvalikot!$V$5,Muut!$E$39,IF(C67=Pudotusvalikot!$V$6,Muut!$E$40,Muut!$E$41))))</f>
        <v>0.71940999999999999</v>
      </c>
      <c r="L66" s="40"/>
      <c r="M66" s="41" t="s">
        <v>204</v>
      </c>
      <c r="N66" s="41"/>
      <c r="O66" s="265"/>
      <c r="P66" s="34"/>
      <c r="Q66" s="52"/>
      <c r="R66" s="44"/>
      <c r="S66" s="44"/>
      <c r="T66" s="44"/>
      <c r="U66" s="44"/>
      <c r="V66" s="44"/>
      <c r="W66" s="44"/>
      <c r="X66" s="44"/>
      <c r="Y66" s="44"/>
      <c r="Z66" s="44"/>
      <c r="AA66" s="44"/>
      <c r="AB66" s="44"/>
      <c r="AC66" s="44"/>
      <c r="AD66" s="44"/>
      <c r="AE66" s="44"/>
      <c r="AF66" s="44"/>
      <c r="AG66" s="44"/>
      <c r="AH66" s="44"/>
      <c r="AI66" s="44"/>
      <c r="AJ66" s="44"/>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15.5" x14ac:dyDescent="0.3">
      <c r="B67" s="186" t="s">
        <v>506</v>
      </c>
      <c r="C67" s="160" t="s">
        <v>242</v>
      </c>
      <c r="D67" s="34"/>
      <c r="E67" s="34"/>
      <c r="F67" s="34"/>
      <c r="G67" s="34"/>
      <c r="H67" s="59"/>
      <c r="J67" s="173"/>
      <c r="K67" s="173"/>
      <c r="L67" s="173"/>
      <c r="M67" s="41"/>
      <c r="N67" s="41"/>
      <c r="O67" s="265"/>
      <c r="Q67" s="47"/>
      <c r="R67" s="232"/>
      <c r="S67" s="232"/>
      <c r="T67" s="44"/>
      <c r="U67" s="44"/>
      <c r="V67" s="220"/>
      <c r="W67" s="220"/>
      <c r="X67" s="221"/>
      <c r="Y67" s="44"/>
      <c r="Z67" s="221"/>
      <c r="AA67" s="222"/>
      <c r="AB67" s="221"/>
      <c r="AC67" s="221"/>
      <c r="AD67" s="221"/>
      <c r="AE67" s="221"/>
      <c r="AF67" s="222"/>
      <c r="AG67" s="221"/>
      <c r="AH67" s="44"/>
      <c r="AI67" s="44"/>
      <c r="AJ67" s="44"/>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15.5" x14ac:dyDescent="0.3">
      <c r="B68" s="45" t="s">
        <v>514</v>
      </c>
      <c r="C68" s="162"/>
      <c r="D68" s="84" t="s">
        <v>5</v>
      </c>
      <c r="G68" s="34"/>
      <c r="H68" s="84"/>
      <c r="J68" s="53"/>
      <c r="K68" s="34"/>
      <c r="L68" s="34"/>
      <c r="M68" s="84"/>
      <c r="N68" s="84"/>
      <c r="O68" s="100"/>
      <c r="P68" s="53"/>
      <c r="Q68" s="52"/>
      <c r="R68" s="44"/>
      <c r="S68" s="44"/>
      <c r="T68" s="44"/>
      <c r="U68" s="44"/>
      <c r="V68" s="44"/>
      <c r="W68" s="44"/>
      <c r="X68" s="44"/>
      <c r="Y68" s="44"/>
      <c r="Z68" s="44"/>
      <c r="AA68" s="44"/>
      <c r="AB68" s="44"/>
      <c r="AC68" s="44"/>
      <c r="AD68" s="44"/>
      <c r="AE68" s="44"/>
      <c r="AF68" s="44"/>
      <c r="AG68" s="44"/>
      <c r="AH68" s="44"/>
      <c r="AI68" s="44"/>
      <c r="AJ68" s="44"/>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5" x14ac:dyDescent="0.3">
      <c r="B69" s="155" t="s">
        <v>460</v>
      </c>
      <c r="C69" s="34"/>
      <c r="D69" s="84"/>
      <c r="G69" s="34"/>
      <c r="H69" s="84"/>
      <c r="J69" s="33"/>
      <c r="K69" s="38" t="s">
        <v>329</v>
      </c>
      <c r="L69" s="38" t="s">
        <v>201</v>
      </c>
      <c r="M69" s="84"/>
      <c r="N69" s="84"/>
      <c r="O69" s="100"/>
      <c r="P69" s="34"/>
      <c r="Q69" s="35"/>
      <c r="R69" s="221" t="s">
        <v>350</v>
      </c>
      <c r="S69" s="44"/>
      <c r="T69" s="44" t="s">
        <v>446</v>
      </c>
      <c r="U69" s="44" t="s">
        <v>445</v>
      </c>
      <c r="V69" s="44" t="s">
        <v>443</v>
      </c>
      <c r="W69" s="44" t="s">
        <v>444</v>
      </c>
      <c r="X69" s="44" t="s">
        <v>447</v>
      </c>
      <c r="Y69" s="44" t="s">
        <v>449</v>
      </c>
      <c r="Z69" s="44" t="s">
        <v>448</v>
      </c>
      <c r="AA69" s="44" t="s">
        <v>202</v>
      </c>
      <c r="AB69" s="44" t="s">
        <v>380</v>
      </c>
      <c r="AC69" s="44" t="s">
        <v>450</v>
      </c>
      <c r="AD69" s="44" t="s">
        <v>381</v>
      </c>
      <c r="AE69" s="44" t="s">
        <v>451</v>
      </c>
      <c r="AF69" s="44" t="s">
        <v>452</v>
      </c>
      <c r="AG69" s="44" t="s">
        <v>638</v>
      </c>
      <c r="AH69" s="44" t="s">
        <v>206</v>
      </c>
      <c r="AI69" s="44" t="s">
        <v>278</v>
      </c>
      <c r="AJ69" s="44" t="s">
        <v>207</v>
      </c>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46.5" x14ac:dyDescent="0.3">
      <c r="B70" s="170" t="s">
        <v>513</v>
      </c>
      <c r="C70" s="161"/>
      <c r="D70" s="89" t="s">
        <v>175</v>
      </c>
      <c r="E70" s="34"/>
      <c r="F70" s="58"/>
      <c r="G70" s="161"/>
      <c r="H70" s="84" t="str">
        <f>IF(D70="t","t/t","t/m3")</f>
        <v>t/m3</v>
      </c>
      <c r="J70" s="173" t="s">
        <v>441</v>
      </c>
      <c r="K70" s="96">
        <f>IF(ISNUMBER(L70),L70,IF(OR(C71=Pudotusvalikot!$D$14,C71=Pudotusvalikot!$D$15),Kalusto!$G$96,VLOOKUP(C71,Kalusto!$C$44:$G$83,5,FALSE))*IF(OR(C72=Pudotusvalikot!$V$3,C72=Pudotusvalikot!$V$4),Muut!$E$38,IF(C72=Pudotusvalikot!$V$5,Muut!$E$39,IF(C72=Pudotusvalikot!$V$6,Muut!$E$40,Muut!$E$41))))</f>
        <v>6.1090000000000005E-2</v>
      </c>
      <c r="L70" s="40"/>
      <c r="M70" s="41" t="s">
        <v>200</v>
      </c>
      <c r="N70" s="41"/>
      <c r="O70" s="265"/>
      <c r="Q70" s="47"/>
      <c r="R70" s="218" t="str">
        <f ca="1">IF(AND(NOT(ISNUMBER(AB70)),NOT(ISNUMBER(AG70))),"",IF(ISNUMBER(AB70),AB70,0)+IF(ISNUMBER(AG70),AG70,0))</f>
        <v/>
      </c>
      <c r="S70" s="232" t="s">
        <v>172</v>
      </c>
      <c r="T70" s="216" t="str">
        <f>IF(ISNUMBER(L70),"Kohdetieto",IF(OR(C71=Pudotusvalikot!$D$14,C71=Pudotusvalikot!$D$15),Kalusto!$I$96,VLOOKUP(C71,Kalusto!$C$44:$L$83,7,FALSE)))</f>
        <v>Maansiirtoauto</v>
      </c>
      <c r="U70" s="216">
        <f>IF(ISNUMBER(L70),"Kohdetieto",IF(OR(C71=Pudotusvalikot!$D$14,C71=Pudotusvalikot!$D$15),Kalusto!$J$96,VLOOKUP(C71,Kalusto!$C$44:$L$83,8,FALSE)))</f>
        <v>32</v>
      </c>
      <c r="V70" s="217">
        <f>IF(ISNUMBER(L70),"Kohdetieto",IF(OR(C71=Pudotusvalikot!$D$14,C71=Pudotusvalikot!$D$15),Kalusto!$K$96,VLOOKUP(C71,Kalusto!$C$44:$L$83,9,FALSE)))</f>
        <v>0.8</v>
      </c>
      <c r="W70" s="217" t="str">
        <f>IF(ISNUMBER(L70),"Kohdetieto",IF(OR(C71=Pudotusvalikot!$D$14,C71=Pudotusvalikot!$D$15),Kalusto!$L$96,VLOOKUP(C71,Kalusto!$C$44:$L$83,10,FALSE)))</f>
        <v>maantieajo</v>
      </c>
      <c r="X70" s="218" t="str">
        <f>IF(ISBLANK(C70),"",IF(D70="t",C70,C70*G70))</f>
        <v/>
      </c>
      <c r="Y70" s="216" t="str">
        <f>IF(ISNUMBER(C73),C73,"")</f>
        <v/>
      </c>
      <c r="Z70" s="218" t="str">
        <f>IF(ISNUMBER(X70/(U70*V70)*Y70),X70/(U70*V70)*Y70,"")</f>
        <v/>
      </c>
      <c r="AA70" s="219">
        <f>IF(ISNUMBER(L70),L70,K70)</f>
        <v>6.1090000000000005E-2</v>
      </c>
      <c r="AB70" s="218" t="str">
        <f>IF(ISNUMBER(Y70*X70*K70),Y70*X70*K70,"")</f>
        <v/>
      </c>
      <c r="AC70" s="218" t="str">
        <f>IF(C80="Kyllä",Y70,"")</f>
        <v/>
      </c>
      <c r="AD70" s="218" t="str">
        <f>IF(C80="Kyllä",IF(ISNUMBER(X70/(U70*V70)),X70/(U70*V70),""),"")</f>
        <v/>
      </c>
      <c r="AE70" s="218" t="str">
        <f>IF(ISNUMBER(AD70*AC70),AD70*AC70,"")</f>
        <v/>
      </c>
      <c r="AF70" s="219">
        <f ca="1">IF(ISNUMBER(L71),L71,K71)</f>
        <v>0.71940999999999999</v>
      </c>
      <c r="AG70" s="218" t="str">
        <f ca="1">IF(ISNUMBER(AC70*AD70*K71),AC70*AD70*K71,"")</f>
        <v/>
      </c>
      <c r="AH70" s="216">
        <f>IF(T70="Jakelukuorma-auto",0,IF(T70="Maansiirtoauto",4,IF(T70="Puoliperävaunu",6,8)))</f>
        <v>4</v>
      </c>
      <c r="AI70" s="216">
        <f>IF(AND(T70="Jakelukuorma-auto",U70=6),0,IF(AND(T70="Jakelukuorma-auto",U70=15),2,0))</f>
        <v>0</v>
      </c>
      <c r="AJ70" s="216">
        <f>IF(W70="maantieajo",0,1)</f>
        <v>0</v>
      </c>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31" x14ac:dyDescent="0.3">
      <c r="B71" s="170" t="s">
        <v>512</v>
      </c>
      <c r="C71" s="392" t="s">
        <v>84</v>
      </c>
      <c r="D71" s="393"/>
      <c r="E71" s="393"/>
      <c r="F71" s="393"/>
      <c r="G71" s="394"/>
      <c r="H71" s="84"/>
      <c r="J71" s="33" t="s">
        <v>442</v>
      </c>
      <c r="K71" s="96">
        <f ca="1">IF(ISNUMBER(L71),L71,IF($C$109="Ei","",IF(AND($C$109="Kyllä",OR(C71=Pudotusvalikot!$D$14,C71=Pudotusvalikot!$D$15)),Kalusto!$G$97,OFFSET(Kalusto!$G$85,AH70+AJ70+AI70,0,1,1)))*IF(OR(C72=Pudotusvalikot!$V$3,C72=Pudotusvalikot!$V$4),Muut!$E$38,IF(C72=Pudotusvalikot!$V$5,Muut!$E$39,IF(C72=Pudotusvalikot!$V$6,Muut!$E$40,Muut!$E$41))))</f>
        <v>0.71940999999999999</v>
      </c>
      <c r="L71" s="40"/>
      <c r="M71" s="41" t="s">
        <v>204</v>
      </c>
      <c r="N71" s="41"/>
      <c r="O71" s="265"/>
      <c r="P71" s="34"/>
      <c r="Q71" s="52"/>
      <c r="R71" s="44"/>
      <c r="S71" s="44"/>
      <c r="T71" s="44"/>
      <c r="U71" s="44"/>
      <c r="V71" s="44"/>
      <c r="W71" s="44"/>
      <c r="X71" s="44"/>
      <c r="Y71" s="44"/>
      <c r="Z71" s="44"/>
      <c r="AA71" s="44"/>
      <c r="AB71" s="44"/>
      <c r="AC71" s="44"/>
      <c r="AD71" s="44"/>
      <c r="AE71" s="44"/>
      <c r="AF71" s="44"/>
      <c r="AG71" s="44"/>
      <c r="AH71" s="44"/>
      <c r="AI71" s="44"/>
      <c r="AJ71" s="44"/>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15.5" x14ac:dyDescent="0.3">
      <c r="B72" s="186" t="s">
        <v>506</v>
      </c>
      <c r="C72" s="160" t="s">
        <v>242</v>
      </c>
      <c r="D72" s="34"/>
      <c r="E72" s="34"/>
      <c r="F72" s="34"/>
      <c r="G72" s="34"/>
      <c r="H72" s="59"/>
      <c r="J72" s="173"/>
      <c r="K72" s="173"/>
      <c r="L72" s="173"/>
      <c r="M72" s="41"/>
      <c r="N72" s="41"/>
      <c r="O72" s="265"/>
      <c r="Q72" s="47"/>
      <c r="R72" s="232"/>
      <c r="S72" s="232"/>
      <c r="T72" s="44"/>
      <c r="U72" s="44"/>
      <c r="V72" s="220"/>
      <c r="W72" s="220"/>
      <c r="X72" s="221"/>
      <c r="Y72" s="44"/>
      <c r="Z72" s="221"/>
      <c r="AA72" s="222"/>
      <c r="AB72" s="221"/>
      <c r="AC72" s="221"/>
      <c r="AD72" s="221"/>
      <c r="AE72" s="221"/>
      <c r="AF72" s="222"/>
      <c r="AG72" s="221"/>
      <c r="AH72" s="44"/>
      <c r="AI72" s="44"/>
      <c r="AJ72" s="44"/>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15.5" x14ac:dyDescent="0.3">
      <c r="B73" s="45" t="s">
        <v>514</v>
      </c>
      <c r="C73" s="162"/>
      <c r="D73" s="90" t="s">
        <v>176</v>
      </c>
      <c r="E73" s="58"/>
      <c r="F73" s="58"/>
      <c r="G73" s="34"/>
      <c r="H73" s="84"/>
      <c r="J73" s="53"/>
      <c r="K73" s="34"/>
      <c r="L73" s="34"/>
      <c r="M73" s="84"/>
      <c r="N73" s="84"/>
      <c r="O73" s="100"/>
      <c r="P73" s="53"/>
      <c r="Q73" s="52"/>
      <c r="R73" s="44"/>
      <c r="S73" s="44"/>
      <c r="T73" s="44"/>
      <c r="U73" s="44"/>
      <c r="V73" s="44"/>
      <c r="W73" s="44"/>
      <c r="X73" s="44"/>
      <c r="Y73" s="44"/>
      <c r="Z73" s="44"/>
      <c r="AA73" s="44"/>
      <c r="AB73" s="44"/>
      <c r="AC73" s="44"/>
      <c r="AD73" s="44"/>
      <c r="AE73" s="44"/>
      <c r="AF73" s="44"/>
      <c r="AG73" s="44"/>
      <c r="AH73" s="44"/>
      <c r="AI73" s="44"/>
      <c r="AJ73" s="44"/>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5" x14ac:dyDescent="0.3">
      <c r="B74" s="155" t="s">
        <v>334</v>
      </c>
      <c r="C74" s="34"/>
      <c r="D74" s="84"/>
      <c r="G74" s="34"/>
      <c r="H74" s="84"/>
      <c r="J74" s="33"/>
      <c r="K74" s="38" t="s">
        <v>329</v>
      </c>
      <c r="L74" s="38" t="s">
        <v>201</v>
      </c>
      <c r="M74" s="84"/>
      <c r="N74" s="84"/>
      <c r="O74" s="100"/>
      <c r="P74" s="34"/>
      <c r="Q74" s="35"/>
      <c r="R74" s="221" t="s">
        <v>350</v>
      </c>
      <c r="S74" s="44"/>
      <c r="T74" s="44" t="s">
        <v>446</v>
      </c>
      <c r="U74" s="44" t="s">
        <v>445</v>
      </c>
      <c r="V74" s="44" t="s">
        <v>443</v>
      </c>
      <c r="W74" s="44" t="s">
        <v>444</v>
      </c>
      <c r="X74" s="44" t="s">
        <v>447</v>
      </c>
      <c r="Y74" s="44" t="s">
        <v>449</v>
      </c>
      <c r="Z74" s="44" t="s">
        <v>448</v>
      </c>
      <c r="AA74" s="44" t="s">
        <v>202</v>
      </c>
      <c r="AB74" s="44" t="s">
        <v>380</v>
      </c>
      <c r="AC74" s="44" t="s">
        <v>450</v>
      </c>
      <c r="AD74" s="44" t="s">
        <v>381</v>
      </c>
      <c r="AE74" s="44" t="s">
        <v>451</v>
      </c>
      <c r="AF74" s="44" t="s">
        <v>452</v>
      </c>
      <c r="AG74" s="44" t="s">
        <v>638</v>
      </c>
      <c r="AH74" s="44" t="s">
        <v>206</v>
      </c>
      <c r="AI74" s="44" t="s">
        <v>278</v>
      </c>
      <c r="AJ74" s="44" t="s">
        <v>207</v>
      </c>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46.5" x14ac:dyDescent="0.3">
      <c r="B75" s="170" t="s">
        <v>513</v>
      </c>
      <c r="C75" s="161"/>
      <c r="D75" s="89" t="s">
        <v>175</v>
      </c>
      <c r="E75" s="34"/>
      <c r="F75" s="58"/>
      <c r="G75" s="161"/>
      <c r="H75" s="84" t="str">
        <f>IF(D75="t","t/t","t/m3")</f>
        <v>t/m3</v>
      </c>
      <c r="J75" s="173" t="s">
        <v>441</v>
      </c>
      <c r="K75" s="96">
        <f>IF(ISNUMBER(L75),L75,IF(OR(C76=Pudotusvalikot!$D$14,C76=Pudotusvalikot!$D$15),Kalusto!$G$96,VLOOKUP(C76,Kalusto!$C$44:$G$83,5,FALSE))*IF(OR(C77=Pudotusvalikot!$V$3,C77=Pudotusvalikot!$V$4),Muut!$E$38,IF(C77=Pudotusvalikot!$V$5,Muut!$E$39,IF(C77=Pudotusvalikot!$V$6,Muut!$E$40,Muut!$E$41))))</f>
        <v>5.7709999999999997E-2</v>
      </c>
      <c r="L75" s="40"/>
      <c r="M75" s="41" t="s">
        <v>200</v>
      </c>
      <c r="N75" s="41"/>
      <c r="O75" s="265"/>
      <c r="Q75" s="47"/>
      <c r="R75" s="218" t="str">
        <f ca="1">IF(AND(NOT(ISNUMBER(AB75)),NOT(ISNUMBER(AG75))),"",IF(ISNUMBER(AB75),AB75,0)+IF(ISNUMBER(AG75),AG75,0))</f>
        <v/>
      </c>
      <c r="S75" s="232" t="s">
        <v>172</v>
      </c>
      <c r="T75" s="216" t="str">
        <f>IF(ISNUMBER(L75),"Kohdetieto",IF(OR(C76=Pudotusvalikot!$D$14,C76=Pudotusvalikot!$D$15),Kalusto!$I$96,VLOOKUP(C76,Kalusto!$C$44:$L$83,7,FALSE)))</f>
        <v>Maansiirtoauto</v>
      </c>
      <c r="U75" s="216">
        <f>IF(ISNUMBER(L75),"Kohdetieto",IF(OR(C76=Pudotusvalikot!$D$14,C76=Pudotusvalikot!$D$15),Kalusto!$J$96,VLOOKUP(C76,Kalusto!$C$44:$L$83,8,FALSE)))</f>
        <v>32</v>
      </c>
      <c r="V75" s="217">
        <f>IF(ISNUMBER(L75),"Kohdetieto",IF(OR(C76=Pudotusvalikot!$D$14,C76=Pudotusvalikot!$D$15),Kalusto!$K$96,VLOOKUP(C76,Kalusto!$C$44:$L$83,9,FALSE)))</f>
        <v>0.8</v>
      </c>
      <c r="W75" s="217" t="str">
        <f>IF(ISNUMBER(L75),"Kohdetieto",IF(OR(C76=Pudotusvalikot!$D$14,C76=Pudotusvalikot!$D$15),Kalusto!$L$96,VLOOKUP(C76,Kalusto!$C$44:$L$83,10,FALSE)))</f>
        <v>maantieajo</v>
      </c>
      <c r="X75" s="218" t="str">
        <f>IF(ISBLANK(C75),"",IF(D75="t",C75,C75*G75))</f>
        <v/>
      </c>
      <c r="Y75" s="216" t="str">
        <f>IF(ISNUMBER(C78),C78,"")</f>
        <v/>
      </c>
      <c r="Z75" s="218" t="str">
        <f>IF(ISNUMBER(X75/(U75*V75)*Y75),X75/(U75*V75)*Y75,"")</f>
        <v/>
      </c>
      <c r="AA75" s="219">
        <f>IF(ISNUMBER(L75),L75,K75)</f>
        <v>5.7709999999999997E-2</v>
      </c>
      <c r="AB75" s="218" t="str">
        <f>IF(ISNUMBER(Y75*X75*K75),Y75*X75*K75,"")</f>
        <v/>
      </c>
      <c r="AC75" s="218" t="str">
        <f>IF(C80="Kyllä",Y75,"")</f>
        <v/>
      </c>
      <c r="AD75" s="218" t="str">
        <f>IF(C80="Kyllä",IF(ISNUMBER(X75/(U75*V75)),X75/(U75*V75),""),"")</f>
        <v/>
      </c>
      <c r="AE75" s="218" t="str">
        <f>IF(ISNUMBER(AD75*AC75),AD75*AC75,"")</f>
        <v/>
      </c>
      <c r="AF75" s="219">
        <f ca="1">IF(ISNUMBER(L76),L76,K76)</f>
        <v>0.71940999999999999</v>
      </c>
      <c r="AG75" s="218" t="str">
        <f ca="1">IF(ISNUMBER(AC75*AD75*K76),AC75*AD75*K76,"")</f>
        <v/>
      </c>
      <c r="AH75" s="216">
        <f>IF(T75="Jakelukuorma-auto",0,IF(T75="Maansiirtoauto",4,IF(T75="Puoliperävaunu",6,8)))</f>
        <v>4</v>
      </c>
      <c r="AI75" s="216">
        <f>IF(AND(T75="Jakelukuorma-auto",U75=6),0,IF(AND(T75="Jakelukuorma-auto",U75=15),2,0))</f>
        <v>0</v>
      </c>
      <c r="AJ75" s="216">
        <f>IF(W75="maantieajo",0,1)</f>
        <v>0</v>
      </c>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31" x14ac:dyDescent="0.3">
      <c r="B76" s="170" t="s">
        <v>512</v>
      </c>
      <c r="C76" s="392" t="s">
        <v>330</v>
      </c>
      <c r="D76" s="393"/>
      <c r="E76" s="393"/>
      <c r="F76" s="393"/>
      <c r="G76" s="394"/>
      <c r="H76" s="84"/>
      <c r="J76" s="33" t="s">
        <v>442</v>
      </c>
      <c r="K76" s="96">
        <f ca="1">IF(ISNUMBER(L76),L76,IF($C$109="Ei","",IF(AND($C$109="Kyllä",OR(C76=Pudotusvalikot!$D$14,C76=Pudotusvalikot!$D$15)),Kalusto!$G$97,OFFSET(Kalusto!$G$85,AH75+AJ75+AI75,0,1,1)))*IF(OR(C77=Pudotusvalikot!$V$3,C77=Pudotusvalikot!$V$4),Muut!$E$38,IF(C77=Pudotusvalikot!$V$5,Muut!$E$39,IF(C77=Pudotusvalikot!$V$6,Muut!$E$40,Muut!$E$41))))</f>
        <v>0.71940999999999999</v>
      </c>
      <c r="L76" s="40"/>
      <c r="M76" s="41" t="s">
        <v>204</v>
      </c>
      <c r="N76" s="41"/>
      <c r="O76" s="265"/>
      <c r="P76" s="34"/>
      <c r="Q76" s="52"/>
      <c r="R76" s="106"/>
      <c r="S76" s="44"/>
      <c r="T76" s="44"/>
      <c r="U76" s="44"/>
      <c r="V76" s="44"/>
      <c r="W76" s="44"/>
      <c r="X76" s="44"/>
      <c r="Y76" s="44"/>
      <c r="Z76" s="44"/>
      <c r="AA76" s="44"/>
      <c r="AB76" s="44"/>
      <c r="AC76" s="44"/>
      <c r="AD76" s="44"/>
      <c r="AE76" s="44"/>
      <c r="AF76" s="44"/>
      <c r="AG76" s="44"/>
      <c r="AH76" s="44"/>
      <c r="AI76" s="44"/>
      <c r="AJ76" s="44"/>
      <c r="AK76" s="36"/>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15.5" x14ac:dyDescent="0.3">
      <c r="B77" s="186" t="s">
        <v>506</v>
      </c>
      <c r="C77" s="160" t="s">
        <v>242</v>
      </c>
      <c r="D77" s="34"/>
      <c r="E77" s="34"/>
      <c r="F77" s="34"/>
      <c r="G77" s="34"/>
      <c r="H77" s="59"/>
      <c r="J77" s="173"/>
      <c r="K77" s="173"/>
      <c r="L77" s="173"/>
      <c r="M77" s="41"/>
      <c r="N77" s="41"/>
      <c r="O77" s="265"/>
      <c r="Q77" s="47"/>
      <c r="R77" s="232"/>
      <c r="S77" s="232"/>
      <c r="T77" s="44"/>
      <c r="U77" s="44"/>
      <c r="V77" s="220"/>
      <c r="W77" s="220"/>
      <c r="X77" s="221"/>
      <c r="Y77" s="44"/>
      <c r="Z77" s="221"/>
      <c r="AA77" s="222"/>
      <c r="AB77" s="221"/>
      <c r="AC77" s="221"/>
      <c r="AD77" s="221"/>
      <c r="AE77" s="221"/>
      <c r="AF77" s="222"/>
      <c r="AG77" s="221"/>
      <c r="AH77" s="44"/>
      <c r="AI77" s="44"/>
      <c r="AJ77" s="44"/>
      <c r="AK77" s="108"/>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15.5" x14ac:dyDescent="0.3">
      <c r="B78" s="45" t="s">
        <v>514</v>
      </c>
      <c r="C78" s="162"/>
      <c r="D78" s="84" t="s">
        <v>5</v>
      </c>
      <c r="G78" s="34"/>
      <c r="H78" s="84"/>
      <c r="J78" s="53"/>
      <c r="K78" s="34"/>
      <c r="L78" s="34"/>
      <c r="M78" s="84"/>
      <c r="N78" s="84"/>
      <c r="O78" s="100"/>
      <c r="P78" s="53"/>
      <c r="Q78" s="52"/>
      <c r="R78" s="106"/>
      <c r="S78" s="44"/>
      <c r="T78" s="44"/>
      <c r="U78" s="44"/>
      <c r="V78" s="44"/>
      <c r="W78" s="44"/>
      <c r="X78" s="44"/>
      <c r="Y78" s="44"/>
      <c r="Z78" s="44"/>
      <c r="AA78" s="44"/>
      <c r="AB78" s="44"/>
      <c r="AC78" s="44"/>
      <c r="AD78" s="44"/>
      <c r="AE78" s="44"/>
      <c r="AF78" s="44"/>
      <c r="AG78" s="44"/>
      <c r="AH78" s="44"/>
      <c r="AI78" s="44"/>
      <c r="AJ78" s="44"/>
      <c r="AK78" s="36"/>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5" x14ac:dyDescent="0.3">
      <c r="C79" s="34"/>
      <c r="D79" s="84"/>
      <c r="G79" s="34"/>
      <c r="H79" s="84"/>
      <c r="J79" s="33"/>
      <c r="K79" s="34"/>
      <c r="L79" s="34"/>
      <c r="M79" s="84"/>
      <c r="N79" s="84"/>
      <c r="O79" s="100"/>
      <c r="Q79" s="35"/>
      <c r="R79" s="106"/>
      <c r="S79" s="44"/>
      <c r="T79" s="44"/>
      <c r="U79" s="44"/>
      <c r="V79" s="44"/>
      <c r="W79" s="44"/>
      <c r="X79" s="44"/>
      <c r="Y79" s="44"/>
      <c r="Z79" s="44"/>
      <c r="AA79" s="44"/>
      <c r="AB79" s="44"/>
      <c r="AC79" s="44"/>
      <c r="AD79" s="44"/>
      <c r="AE79" s="44"/>
      <c r="AF79" s="44"/>
      <c r="AG79" s="44"/>
      <c r="AH79" s="44"/>
      <c r="AI79" s="44"/>
      <c r="AJ79" s="44"/>
      <c r="AK79" s="36"/>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46.5" x14ac:dyDescent="0.3">
      <c r="B80" s="78" t="s">
        <v>668</v>
      </c>
      <c r="C80" s="392" t="s">
        <v>6</v>
      </c>
      <c r="D80" s="394"/>
      <c r="E80" s="34"/>
      <c r="F80" s="58"/>
      <c r="G80" s="34"/>
      <c r="H80" s="84"/>
      <c r="J80" s="33"/>
      <c r="K80" s="34"/>
      <c r="L80" s="34"/>
      <c r="M80" s="84"/>
      <c r="N80" s="84"/>
      <c r="O80" s="100"/>
      <c r="Q80" s="35"/>
      <c r="R80" s="106"/>
      <c r="S80" s="44"/>
      <c r="T80" s="44"/>
      <c r="U80" s="44"/>
      <c r="V80" s="44"/>
      <c r="W80" s="44"/>
      <c r="X80" s="44"/>
      <c r="Y80" s="44"/>
      <c r="Z80" s="44"/>
      <c r="AA80" s="44"/>
      <c r="AB80" s="44"/>
      <c r="AC80" s="44"/>
      <c r="AD80" s="44"/>
      <c r="AE80" s="44"/>
      <c r="AF80" s="44"/>
      <c r="AG80" s="44"/>
      <c r="AH80" s="44"/>
      <c r="AI80" s="44"/>
      <c r="AJ80" s="44"/>
      <c r="AK80" s="36"/>
      <c r="AL80" s="36"/>
      <c r="AM80" s="36"/>
      <c r="AN80" s="37"/>
      <c r="AO80" s="37"/>
      <c r="AP80" s="37"/>
      <c r="AQ80" s="37"/>
      <c r="AR80" s="37"/>
      <c r="AS80" s="37"/>
      <c r="AT80" s="37"/>
      <c r="AU80" s="37"/>
      <c r="AV80" s="37"/>
      <c r="AW80" s="37"/>
      <c r="AX80" s="37"/>
      <c r="AY80" s="37"/>
      <c r="AZ80" s="37"/>
      <c r="BA80" s="37"/>
      <c r="BB80" s="37"/>
      <c r="BC80" s="37"/>
      <c r="BD80" s="37"/>
      <c r="BE80" s="37"/>
    </row>
    <row r="81" spans="2:59" s="31" customFormat="1" ht="15.5" x14ac:dyDescent="0.3">
      <c r="C81" s="34"/>
      <c r="D81" s="84"/>
      <c r="G81" s="34"/>
      <c r="H81" s="84"/>
      <c r="J81" s="33"/>
      <c r="K81" s="34"/>
      <c r="L81" s="34"/>
      <c r="M81" s="84"/>
      <c r="N81" s="84"/>
      <c r="O81" s="84"/>
      <c r="Q81" s="35"/>
      <c r="R81" s="106"/>
      <c r="S81" s="44"/>
      <c r="T81" s="44"/>
      <c r="U81" s="44"/>
      <c r="V81" s="44"/>
      <c r="W81" s="44"/>
      <c r="X81" s="44"/>
      <c r="Y81" s="44"/>
      <c r="Z81" s="44"/>
      <c r="AA81" s="44"/>
      <c r="AB81" s="44"/>
      <c r="AC81" s="44"/>
      <c r="AD81" s="44"/>
      <c r="AE81" s="44"/>
      <c r="AF81" s="44"/>
      <c r="AG81" s="44"/>
      <c r="AH81" s="44"/>
      <c r="AI81" s="44"/>
      <c r="AJ81" s="44"/>
      <c r="AK81" s="36"/>
      <c r="AL81" s="36"/>
      <c r="AM81" s="36"/>
      <c r="AN81" s="37"/>
      <c r="AO81" s="37"/>
      <c r="AP81" s="37"/>
      <c r="AQ81" s="37"/>
      <c r="AR81" s="37"/>
      <c r="AS81" s="37"/>
      <c r="AT81" s="37"/>
      <c r="AU81" s="37"/>
      <c r="AV81" s="37"/>
      <c r="AW81" s="37"/>
      <c r="AX81" s="37"/>
      <c r="AY81" s="37"/>
      <c r="AZ81" s="37"/>
      <c r="BA81" s="37"/>
      <c r="BB81" s="37"/>
      <c r="BC81" s="37"/>
      <c r="BD81" s="37"/>
      <c r="BE81" s="37"/>
    </row>
    <row r="82" spans="2:59" s="298" customFormat="1" ht="18" x14ac:dyDescent="0.3">
      <c r="B82" s="295" t="s">
        <v>353</v>
      </c>
      <c r="C82" s="296"/>
      <c r="D82" s="297"/>
      <c r="G82" s="296"/>
      <c r="H82" s="297"/>
      <c r="K82" s="296"/>
      <c r="L82" s="296"/>
      <c r="M82" s="297"/>
      <c r="N82" s="297"/>
      <c r="O82" s="300"/>
      <c r="P82" s="320"/>
      <c r="Q82" s="304"/>
      <c r="S82" s="303"/>
      <c r="T82" s="303"/>
      <c r="U82" s="303"/>
      <c r="V82" s="303"/>
      <c r="W82" s="303"/>
      <c r="X82" s="303"/>
      <c r="Y82" s="303"/>
      <c r="Z82" s="303"/>
      <c r="AA82" s="303"/>
      <c r="AB82" s="303"/>
      <c r="AC82" s="303"/>
      <c r="AD82" s="303"/>
      <c r="AE82" s="303"/>
      <c r="AF82" s="303"/>
      <c r="AG82" s="303"/>
      <c r="AH82" s="303"/>
      <c r="AI82" s="303"/>
      <c r="AJ82" s="303"/>
      <c r="AK82" s="303"/>
      <c r="AL82" s="303"/>
      <c r="AM82" s="303"/>
      <c r="AN82" s="304"/>
      <c r="AO82" s="304"/>
      <c r="AP82" s="304"/>
      <c r="AQ82" s="304"/>
      <c r="AR82" s="304"/>
      <c r="AS82" s="304"/>
      <c r="AT82" s="304"/>
      <c r="AU82" s="304"/>
      <c r="AV82" s="304"/>
      <c r="AW82" s="304"/>
      <c r="AX82" s="304"/>
      <c r="AY82" s="304"/>
      <c r="AZ82" s="304"/>
      <c r="BA82" s="304"/>
      <c r="BB82" s="304"/>
      <c r="BC82" s="304"/>
      <c r="BD82" s="304"/>
      <c r="BE82" s="304"/>
    </row>
    <row r="83" spans="2:59" s="31" customFormat="1" ht="15.5" x14ac:dyDescent="0.3">
      <c r="B83" s="9"/>
      <c r="C83" s="34"/>
      <c r="D83" s="84"/>
      <c r="G83" s="38" t="s">
        <v>199</v>
      </c>
      <c r="H83" s="84"/>
      <c r="J83" s="33"/>
      <c r="K83" s="38" t="s">
        <v>329</v>
      </c>
      <c r="L83" s="38" t="s">
        <v>201</v>
      </c>
      <c r="M83" s="84"/>
      <c r="N83" s="84"/>
      <c r="O83" s="255" t="s">
        <v>644</v>
      </c>
      <c r="P83" s="38"/>
      <c r="Q83" s="35"/>
      <c r="R83" s="44" t="s">
        <v>350</v>
      </c>
      <c r="S83" s="44"/>
      <c r="T83" s="44" t="s">
        <v>378</v>
      </c>
      <c r="U83" s="44" t="s">
        <v>164</v>
      </c>
      <c r="V83" s="44" t="s">
        <v>355</v>
      </c>
      <c r="W83" s="225"/>
      <c r="X83" s="44"/>
      <c r="Y83" s="44"/>
      <c r="Z83" s="44"/>
      <c r="AA83" s="44"/>
      <c r="AB83" s="44"/>
      <c r="AC83" s="44"/>
      <c r="AD83" s="44"/>
      <c r="AE83" s="44"/>
      <c r="AF83" s="44"/>
      <c r="AG83" s="44"/>
      <c r="AH83" s="44"/>
      <c r="AI83" s="44"/>
      <c r="AJ83" s="44"/>
      <c r="AK83" s="36"/>
      <c r="AL83" s="36"/>
      <c r="AM83" s="36"/>
      <c r="AN83" s="37"/>
      <c r="AO83" s="37"/>
      <c r="AP83" s="37"/>
      <c r="AQ83" s="37"/>
      <c r="AR83" s="37"/>
      <c r="AS83" s="37"/>
      <c r="AT83" s="37"/>
      <c r="AU83" s="37"/>
      <c r="AV83" s="37"/>
      <c r="AW83" s="37"/>
      <c r="AX83" s="37"/>
      <c r="AY83" s="37"/>
      <c r="AZ83" s="37"/>
      <c r="BA83" s="37"/>
      <c r="BB83" s="37"/>
      <c r="BC83" s="37"/>
      <c r="BD83" s="37"/>
      <c r="BE83" s="37"/>
    </row>
    <row r="84" spans="2:59" s="31" customFormat="1" ht="15.5" x14ac:dyDescent="0.3">
      <c r="B84" s="163" t="s">
        <v>462</v>
      </c>
      <c r="C84" s="160"/>
      <c r="D84" s="92" t="s">
        <v>175</v>
      </c>
      <c r="G84" s="66">
        <v>1.8</v>
      </c>
      <c r="H84" s="84" t="s">
        <v>177</v>
      </c>
      <c r="J84" s="33" t="s">
        <v>354</v>
      </c>
      <c r="K84" s="96">
        <f>IF(ISNUMBER(L84),L84,VLOOKUP(B84,Materiaalit!$C$10:$I$21,5,FALSE))</f>
        <v>6.0000000000000001E-3</v>
      </c>
      <c r="L84" s="40"/>
      <c r="M84" s="41" t="s">
        <v>276</v>
      </c>
      <c r="N84" s="41"/>
      <c r="O84" s="256"/>
      <c r="P84" s="41"/>
      <c r="Q84" s="52"/>
      <c r="R84" s="218" t="str">
        <f>IF(ISNUMBER(K84*V84*1000),K84*V84*1000,"")</f>
        <v/>
      </c>
      <c r="S84" s="232" t="s">
        <v>172</v>
      </c>
      <c r="T84" s="218" t="str">
        <f>IF(ISBLANK(C84),"",IF(D84="t",C84,C84*G84))</f>
        <v/>
      </c>
      <c r="U84" s="216">
        <f>VLOOKUP(B84,Materiaalit!$C$10:$I$21,7,FALSE)</f>
        <v>1.05</v>
      </c>
      <c r="V84" s="218" t="str">
        <f>IF(ISNUMBER(U84*T84),U84*T84,"")</f>
        <v/>
      </c>
      <c r="W84" s="225"/>
      <c r="X84" s="44"/>
      <c r="Y84" s="44"/>
      <c r="Z84" s="44"/>
      <c r="AA84" s="44"/>
      <c r="AB84" s="44"/>
      <c r="AC84" s="44"/>
      <c r="AD84" s="44"/>
      <c r="AE84" s="44"/>
      <c r="AF84" s="44"/>
      <c r="AG84" s="44"/>
      <c r="AH84" s="44"/>
      <c r="AI84" s="44"/>
      <c r="AJ84" s="44"/>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5" x14ac:dyDescent="0.3">
      <c r="B85" s="163" t="s">
        <v>461</v>
      </c>
      <c r="C85" s="160"/>
      <c r="D85" s="89" t="s">
        <v>175</v>
      </c>
      <c r="G85" s="67">
        <f>1/0.6</f>
        <v>1.6666666666666667</v>
      </c>
      <c r="H85" s="84" t="s">
        <v>177</v>
      </c>
      <c r="J85" s="33" t="s">
        <v>354</v>
      </c>
      <c r="K85" s="96">
        <f>IF(ISNUMBER(L85),L85,VLOOKUP(B85,Materiaalit!$C$10:$I$21,5,FALSE))</f>
        <v>6.0000000000000001E-3</v>
      </c>
      <c r="L85" s="40"/>
      <c r="M85" s="41" t="s">
        <v>276</v>
      </c>
      <c r="N85" s="41"/>
      <c r="O85" s="265"/>
      <c r="P85" s="41"/>
      <c r="Q85" s="52"/>
      <c r="R85" s="218" t="str">
        <f>IF(ISNUMBER(K85*V85*1000),K85*V85*1000,"")</f>
        <v/>
      </c>
      <c r="S85" s="232" t="s">
        <v>172</v>
      </c>
      <c r="T85" s="218" t="str">
        <f>IF(ISBLANK(C85),"",IF(D85="t",C85,C85*G85))</f>
        <v/>
      </c>
      <c r="U85" s="216">
        <f>VLOOKUP(B85,Materiaalit!$C$10:$I$21,7,FALSE)</f>
        <v>1.05</v>
      </c>
      <c r="V85" s="218" t="str">
        <f>IF(ISNUMBER(U85*T85),U85*T85,"")</f>
        <v/>
      </c>
      <c r="W85" s="225"/>
      <c r="X85" s="44"/>
      <c r="Y85" s="44"/>
      <c r="Z85" s="44"/>
      <c r="AA85" s="44"/>
      <c r="AB85" s="44"/>
      <c r="AC85" s="44"/>
      <c r="AD85" s="44"/>
      <c r="AE85" s="44"/>
      <c r="AF85" s="44"/>
      <c r="AG85" s="44"/>
      <c r="AH85" s="44"/>
      <c r="AI85" s="44"/>
      <c r="AJ85" s="44"/>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5" x14ac:dyDescent="0.3">
      <c r="B86" s="163" t="s">
        <v>463</v>
      </c>
      <c r="C86" s="160"/>
      <c r="D86" s="93" t="s">
        <v>175</v>
      </c>
      <c r="G86" s="67">
        <f>1/0.6</f>
        <v>1.6666666666666667</v>
      </c>
      <c r="H86" s="84" t="s">
        <v>177</v>
      </c>
      <c r="J86" s="33" t="s">
        <v>354</v>
      </c>
      <c r="K86" s="96">
        <f>IF(ISNUMBER(L86),L86,VLOOKUP(B86,Materiaalit!$C$10:$I$21,5,FALSE))</f>
        <v>4.0000000000000001E-3</v>
      </c>
      <c r="L86" s="40"/>
      <c r="M86" s="41" t="s">
        <v>276</v>
      </c>
      <c r="N86" s="41"/>
      <c r="O86" s="265"/>
      <c r="P86" s="41"/>
      <c r="Q86" s="52"/>
      <c r="R86" s="218" t="str">
        <f>IF(ISNUMBER(K86*V86*1000),K86*V86*1000,"")</f>
        <v/>
      </c>
      <c r="S86" s="232" t="s">
        <v>172</v>
      </c>
      <c r="T86" s="218" t="str">
        <f>IF(ISBLANK(C86),"",IF(D86="t",C86,C86*G86))</f>
        <v/>
      </c>
      <c r="U86" s="216">
        <f>VLOOKUP(B86,Materiaalit!$C$10:$I$21,7,FALSE)</f>
        <v>1.05</v>
      </c>
      <c r="V86" s="218" t="str">
        <f>IF(ISNUMBER(U86*T86),U86*T86,"")</f>
        <v/>
      </c>
      <c r="W86" s="225"/>
      <c r="X86" s="44"/>
      <c r="Y86" s="44"/>
      <c r="Z86" s="44"/>
      <c r="AA86" s="44"/>
      <c r="AB86" s="44"/>
      <c r="AC86" s="44"/>
      <c r="AD86" s="44"/>
      <c r="AE86" s="44"/>
      <c r="AF86" s="44"/>
      <c r="AG86" s="44"/>
      <c r="AH86" s="44"/>
      <c r="AI86" s="44"/>
      <c r="AJ86" s="44"/>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5" x14ac:dyDescent="0.3">
      <c r="B87" s="163" t="s">
        <v>464</v>
      </c>
      <c r="C87" s="160"/>
      <c r="D87" s="89" t="s">
        <v>175</v>
      </c>
      <c r="G87" s="67">
        <f>1/0.7</f>
        <v>1.4285714285714286</v>
      </c>
      <c r="H87" s="84" t="s">
        <v>177</v>
      </c>
      <c r="J87" s="33" t="s">
        <v>354</v>
      </c>
      <c r="K87" s="96">
        <f>IF(ISNUMBER(L87),L87,VLOOKUP(B87,Materiaalit!$C$10:$I$21,5,FALSE))</f>
        <v>4.0000000000000001E-3</v>
      </c>
      <c r="L87" s="40"/>
      <c r="M87" s="41" t="s">
        <v>276</v>
      </c>
      <c r="N87" s="41"/>
      <c r="O87" s="265"/>
      <c r="P87" s="41"/>
      <c r="Q87" s="52"/>
      <c r="R87" s="218" t="str">
        <f>IF(ISNUMBER(K87*V87*1000),K87*V87*1000,"")</f>
        <v/>
      </c>
      <c r="S87" s="232" t="s">
        <v>172</v>
      </c>
      <c r="T87" s="218" t="str">
        <f>IF(ISBLANK(C87),"",IF(D87="t",C87,C87*G87))</f>
        <v/>
      </c>
      <c r="U87" s="216">
        <f>VLOOKUP(B87,Materiaalit!$C$10:$I$21,7,FALSE)</f>
        <v>1.05</v>
      </c>
      <c r="V87" s="218" t="str">
        <f>IF(ISNUMBER(U87*T87),U87*T87,"")</f>
        <v/>
      </c>
      <c r="W87" s="225"/>
      <c r="X87" s="44"/>
      <c r="Y87" s="44"/>
      <c r="Z87" s="44"/>
      <c r="AA87" s="44"/>
      <c r="AB87" s="44"/>
      <c r="AC87" s="44"/>
      <c r="AD87" s="44"/>
      <c r="AE87" s="44"/>
      <c r="AF87" s="44"/>
      <c r="AG87" s="44"/>
      <c r="AH87" s="44"/>
      <c r="AI87" s="44"/>
      <c r="AJ87" s="44"/>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5" x14ac:dyDescent="0.3">
      <c r="B88" s="155" t="s">
        <v>465</v>
      </c>
      <c r="C88" s="160"/>
      <c r="D88" s="89" t="s">
        <v>175</v>
      </c>
      <c r="G88" s="160"/>
      <c r="H88" s="84" t="s">
        <v>177</v>
      </c>
      <c r="J88" s="33" t="s">
        <v>354</v>
      </c>
      <c r="K88" s="96">
        <f>IF(ISNUMBER(L88),L88,Materiaalit!$G$23)</f>
        <v>5.0000000000000001E-3</v>
      </c>
      <c r="L88" s="40"/>
      <c r="M88" s="41" t="s">
        <v>276</v>
      </c>
      <c r="N88" s="41"/>
      <c r="O88" s="265"/>
      <c r="P88" s="41"/>
      <c r="Q88" s="52"/>
      <c r="R88" s="218" t="str">
        <f>IF(ISNUMBER(K88*V88*1000),K88*V88*1000,"")</f>
        <v/>
      </c>
      <c r="S88" s="232" t="s">
        <v>172</v>
      </c>
      <c r="T88" s="218" t="str">
        <f>IF(ISBLANK(C88),"",IF(D88="t",C88,C88*G88))</f>
        <v/>
      </c>
      <c r="U88" s="216">
        <f>Materiaalit!$I$23</f>
        <v>1.05</v>
      </c>
      <c r="V88" s="218" t="str">
        <f>IF(ISNUMBER(U88*T88),U88*T88,"")</f>
        <v/>
      </c>
      <c r="W88" s="225"/>
      <c r="X88" s="44"/>
      <c r="Y88" s="44"/>
      <c r="Z88" s="44"/>
      <c r="AA88" s="44"/>
      <c r="AB88" s="44"/>
      <c r="AC88" s="44"/>
      <c r="AD88" s="44"/>
      <c r="AE88" s="44"/>
      <c r="AF88" s="44"/>
      <c r="AG88" s="44"/>
      <c r="AH88" s="44"/>
      <c r="AI88" s="44"/>
      <c r="AJ88" s="44"/>
      <c r="AK88" s="36"/>
      <c r="AL88" s="36"/>
      <c r="AM88" s="36"/>
      <c r="AN88" s="37"/>
      <c r="AO88" s="37"/>
      <c r="AP88" s="37"/>
      <c r="AQ88" s="37"/>
      <c r="AR88" s="37"/>
      <c r="AS88" s="37"/>
      <c r="AT88" s="37"/>
      <c r="AU88" s="37"/>
      <c r="AV88" s="37"/>
      <c r="AW88" s="37"/>
      <c r="AX88" s="37"/>
      <c r="AY88" s="37"/>
      <c r="AZ88" s="37"/>
      <c r="BA88" s="37"/>
      <c r="BB88" s="37"/>
      <c r="BC88" s="37"/>
      <c r="BD88" s="37"/>
      <c r="BE88" s="37"/>
    </row>
    <row r="89" spans="2:59" s="31" customFormat="1" ht="15.5" x14ac:dyDescent="0.3">
      <c r="C89" s="34"/>
      <c r="D89" s="84"/>
      <c r="G89" s="34"/>
      <c r="H89" s="84"/>
      <c r="J89" s="33"/>
      <c r="K89" s="34"/>
      <c r="L89" s="34"/>
      <c r="M89" s="84"/>
      <c r="N89" s="84"/>
      <c r="O89" s="100"/>
      <c r="Q89" s="35"/>
      <c r="R89" s="106"/>
      <c r="S89" s="44"/>
      <c r="T89" s="44"/>
      <c r="U89" s="44"/>
      <c r="V89" s="44"/>
      <c r="W89" s="44"/>
      <c r="X89" s="44"/>
      <c r="Y89" s="44"/>
      <c r="Z89" s="44"/>
      <c r="AA89" s="44"/>
      <c r="AB89" s="44"/>
      <c r="AC89" s="44"/>
      <c r="AD89" s="44"/>
      <c r="AE89" s="44"/>
      <c r="AF89" s="44"/>
      <c r="AG89" s="44"/>
      <c r="AH89" s="44"/>
      <c r="AI89" s="44"/>
      <c r="AJ89" s="44"/>
      <c r="AK89" s="36"/>
      <c r="AL89" s="36"/>
      <c r="AM89" s="36"/>
      <c r="AN89" s="37"/>
      <c r="AO89" s="37"/>
      <c r="AP89" s="37"/>
      <c r="AQ89" s="37"/>
      <c r="AR89" s="37"/>
      <c r="AS89" s="37"/>
      <c r="AT89" s="37"/>
      <c r="AU89" s="37"/>
      <c r="AV89" s="37"/>
      <c r="AW89" s="37"/>
      <c r="AX89" s="37"/>
      <c r="AY89" s="37"/>
      <c r="AZ89" s="37"/>
      <c r="BA89" s="37"/>
      <c r="BB89" s="37"/>
      <c r="BC89" s="37"/>
      <c r="BD89" s="37"/>
      <c r="BE89" s="37"/>
    </row>
    <row r="90" spans="2:59" s="31" customFormat="1" ht="15.5" x14ac:dyDescent="0.3">
      <c r="B90" s="177" t="s">
        <v>592</v>
      </c>
      <c r="C90" s="34"/>
      <c r="D90" s="84"/>
      <c r="G90" s="34"/>
      <c r="H90" s="84"/>
      <c r="J90" s="33"/>
      <c r="K90" s="34"/>
      <c r="L90" s="34"/>
      <c r="M90" s="84"/>
      <c r="N90" s="84"/>
      <c r="O90" s="100"/>
      <c r="Q90" s="35"/>
      <c r="R90" s="106"/>
      <c r="S90" s="44"/>
      <c r="T90" s="44"/>
      <c r="U90" s="44"/>
      <c r="V90" s="44"/>
      <c r="W90" s="44"/>
      <c r="X90" s="44"/>
      <c r="Y90" s="44"/>
      <c r="Z90" s="44"/>
      <c r="AA90" s="44"/>
      <c r="AB90" s="44"/>
      <c r="AC90" s="44"/>
      <c r="AD90" s="44"/>
      <c r="AE90" s="44"/>
      <c r="AF90" s="44"/>
      <c r="AG90" s="44"/>
      <c r="AH90" s="44"/>
      <c r="AI90" s="44"/>
      <c r="AJ90" s="44"/>
      <c r="AK90" s="36"/>
      <c r="AL90" s="36"/>
      <c r="AM90" s="36"/>
      <c r="AN90" s="37"/>
      <c r="AO90" s="37"/>
      <c r="AP90" s="37"/>
      <c r="AQ90" s="37"/>
      <c r="AR90" s="37"/>
      <c r="AS90" s="37"/>
      <c r="AT90" s="37"/>
      <c r="AU90" s="37"/>
      <c r="AV90" s="37"/>
      <c r="AW90" s="37"/>
      <c r="AX90" s="37"/>
      <c r="AY90" s="37"/>
      <c r="AZ90" s="37"/>
      <c r="BA90" s="37"/>
      <c r="BB90" s="37"/>
      <c r="BC90" s="37"/>
      <c r="BD90" s="37"/>
      <c r="BE90" s="37"/>
    </row>
    <row r="91" spans="2:59" s="31" customFormat="1" ht="15.5" x14ac:dyDescent="0.3">
      <c r="C91" s="34"/>
      <c r="D91" s="84"/>
      <c r="G91" s="34"/>
      <c r="H91" s="84"/>
      <c r="J91" s="33"/>
      <c r="K91" s="34"/>
      <c r="L91" s="34"/>
      <c r="M91" s="84"/>
      <c r="N91" s="84"/>
      <c r="O91" s="84"/>
      <c r="Q91" s="35"/>
      <c r="R91" s="106"/>
      <c r="S91" s="44"/>
      <c r="T91" s="44"/>
      <c r="U91" s="44"/>
      <c r="V91" s="44"/>
      <c r="W91" s="44"/>
      <c r="X91" s="44"/>
      <c r="Y91" s="44"/>
      <c r="Z91" s="44"/>
      <c r="AA91" s="44"/>
      <c r="AB91" s="44"/>
      <c r="AC91" s="44"/>
      <c r="AD91" s="44"/>
      <c r="AE91" s="44"/>
      <c r="AF91" s="44"/>
      <c r="AG91" s="44"/>
      <c r="AH91" s="44"/>
      <c r="AI91" s="44"/>
      <c r="AJ91" s="44"/>
      <c r="AK91" s="36"/>
      <c r="AL91" s="36"/>
      <c r="AM91" s="36"/>
      <c r="AN91" s="37"/>
      <c r="AO91" s="37"/>
      <c r="AP91" s="37"/>
      <c r="AQ91" s="37"/>
      <c r="AR91" s="37"/>
      <c r="AS91" s="37"/>
      <c r="AT91" s="37"/>
      <c r="AU91" s="37"/>
      <c r="AV91" s="37"/>
      <c r="AW91" s="37"/>
      <c r="AX91" s="37"/>
      <c r="AY91" s="37"/>
      <c r="AZ91" s="37"/>
      <c r="BA91" s="37"/>
      <c r="BB91" s="37"/>
      <c r="BC91" s="37"/>
      <c r="BD91" s="37"/>
      <c r="BE91" s="37"/>
    </row>
    <row r="92" spans="2:59" s="298" customFormat="1" ht="18" x14ac:dyDescent="0.3">
      <c r="B92" s="295" t="s">
        <v>356</v>
      </c>
      <c r="C92" s="296"/>
      <c r="D92" s="297"/>
      <c r="G92" s="296"/>
      <c r="H92" s="297"/>
      <c r="K92" s="296"/>
      <c r="L92" s="296"/>
      <c r="M92" s="297"/>
      <c r="N92" s="297"/>
      <c r="O92" s="300"/>
      <c r="P92" s="320"/>
      <c r="Q92" s="304"/>
      <c r="S92" s="303"/>
      <c r="T92" s="303"/>
      <c r="U92" s="303"/>
      <c r="V92" s="303"/>
      <c r="W92" s="303"/>
      <c r="X92" s="303"/>
      <c r="Y92" s="303"/>
      <c r="Z92" s="303"/>
      <c r="AA92" s="303"/>
      <c r="AB92" s="303"/>
      <c r="AC92" s="303"/>
      <c r="AD92" s="303"/>
      <c r="AE92" s="303"/>
      <c r="AF92" s="303"/>
      <c r="AG92" s="303"/>
      <c r="AH92" s="303"/>
      <c r="AI92" s="303"/>
      <c r="AJ92" s="303"/>
      <c r="AK92" s="303"/>
      <c r="AL92" s="303"/>
      <c r="AM92" s="303"/>
      <c r="AN92" s="304"/>
      <c r="AO92" s="304"/>
      <c r="AP92" s="304"/>
      <c r="AQ92" s="304"/>
      <c r="AR92" s="304"/>
      <c r="AS92" s="304"/>
      <c r="AT92" s="304"/>
      <c r="AU92" s="304"/>
      <c r="AV92" s="304"/>
      <c r="AW92" s="304"/>
      <c r="AX92" s="304"/>
      <c r="AY92" s="304"/>
      <c r="AZ92" s="304"/>
      <c r="BA92" s="304"/>
      <c r="BB92" s="304"/>
      <c r="BC92" s="304"/>
      <c r="BD92" s="304"/>
      <c r="BE92" s="304"/>
    </row>
    <row r="93" spans="2:59" s="31" customFormat="1" ht="15.5" x14ac:dyDescent="0.3">
      <c r="B93" s="9"/>
      <c r="C93" s="34"/>
      <c r="D93" s="84"/>
      <c r="G93" s="38"/>
      <c r="H93" s="84"/>
      <c r="J93" s="33"/>
      <c r="K93" s="38"/>
      <c r="L93" s="38"/>
      <c r="M93" s="86"/>
      <c r="N93" s="86"/>
      <c r="O93" s="255" t="s">
        <v>644</v>
      </c>
      <c r="P93" s="38"/>
      <c r="Q93" s="35"/>
      <c r="R93" s="106"/>
      <c r="S93" s="44"/>
      <c r="T93" s="44"/>
      <c r="U93" s="44"/>
      <c r="V93" s="44"/>
      <c r="W93" s="44"/>
      <c r="X93" s="44"/>
      <c r="Y93" s="44"/>
      <c r="Z93" s="44"/>
      <c r="AA93" s="44"/>
      <c r="AB93" s="44"/>
      <c r="AC93" s="44"/>
      <c r="AD93" s="44"/>
      <c r="AE93" s="44"/>
      <c r="AF93" s="44"/>
      <c r="AG93" s="44"/>
      <c r="AH93" s="44"/>
      <c r="AI93" s="44"/>
      <c r="AJ93" s="44"/>
      <c r="AK93" s="36"/>
      <c r="AL93" s="36"/>
      <c r="AM93" s="36"/>
      <c r="AN93" s="37"/>
      <c r="AO93" s="37"/>
      <c r="AP93" s="37"/>
      <c r="AQ93" s="37"/>
      <c r="AR93" s="37"/>
      <c r="AS93" s="37"/>
      <c r="AT93" s="37"/>
      <c r="AU93" s="37"/>
      <c r="AV93" s="37"/>
      <c r="AW93" s="37"/>
      <c r="AX93" s="37"/>
      <c r="AY93" s="37"/>
      <c r="AZ93" s="37"/>
      <c r="BA93" s="37"/>
      <c r="BB93" s="37"/>
      <c r="BC93" s="37"/>
      <c r="BD93" s="37"/>
      <c r="BE93" s="37"/>
    </row>
    <row r="94" spans="2:59" s="31" customFormat="1" ht="15.5" x14ac:dyDescent="0.3">
      <c r="B94" s="95" t="str">
        <f>IF(LEFT(B84,5)="Louhe","Louhe",B84)</f>
        <v>Louhe</v>
      </c>
      <c r="C94" s="34"/>
      <c r="D94" s="84"/>
      <c r="G94" s="38" t="s">
        <v>199</v>
      </c>
      <c r="H94" s="84"/>
      <c r="I94" s="84"/>
      <c r="J94" s="33"/>
      <c r="K94" s="38" t="s">
        <v>329</v>
      </c>
      <c r="L94" s="38" t="s">
        <v>201</v>
      </c>
      <c r="M94" s="86"/>
      <c r="N94" s="86"/>
      <c r="O94" s="256"/>
      <c r="P94" s="148"/>
      <c r="Q94" s="37"/>
      <c r="R94" s="44" t="s">
        <v>350</v>
      </c>
      <c r="S94" s="44"/>
      <c r="T94" s="44" t="s">
        <v>446</v>
      </c>
      <c r="U94" s="44" t="s">
        <v>445</v>
      </c>
      <c r="V94" s="44" t="s">
        <v>443</v>
      </c>
      <c r="W94" s="44" t="s">
        <v>444</v>
      </c>
      <c r="X94" s="44" t="s">
        <v>447</v>
      </c>
      <c r="Y94" s="44" t="s">
        <v>449</v>
      </c>
      <c r="Z94" s="44" t="s">
        <v>448</v>
      </c>
      <c r="AA94" s="44" t="s">
        <v>202</v>
      </c>
      <c r="AB94" s="44" t="s">
        <v>380</v>
      </c>
      <c r="AC94" s="44" t="s">
        <v>450</v>
      </c>
      <c r="AD94" s="44" t="s">
        <v>381</v>
      </c>
      <c r="AE94" s="44" t="s">
        <v>451</v>
      </c>
      <c r="AF94" s="44" t="s">
        <v>452</v>
      </c>
      <c r="AG94" s="44" t="s">
        <v>638</v>
      </c>
      <c r="AH94" s="44" t="s">
        <v>206</v>
      </c>
      <c r="AI94" s="44" t="s">
        <v>278</v>
      </c>
      <c r="AJ94" s="44" t="s">
        <v>207</v>
      </c>
      <c r="AK94" s="108"/>
      <c r="AL94" s="36"/>
      <c r="AM94" s="36"/>
      <c r="AN94" s="37"/>
      <c r="AO94" s="37"/>
      <c r="AP94" s="37"/>
      <c r="AQ94" s="37"/>
      <c r="AR94" s="37"/>
      <c r="AS94" s="37"/>
      <c r="AT94" s="37"/>
      <c r="AU94" s="37"/>
      <c r="AV94" s="37"/>
      <c r="AW94" s="37"/>
      <c r="AX94" s="37"/>
      <c r="AY94" s="37"/>
      <c r="AZ94" s="37"/>
      <c r="BA94" s="37"/>
      <c r="BB94" s="37"/>
      <c r="BC94" s="37"/>
      <c r="BD94" s="37"/>
      <c r="BE94" s="37"/>
      <c r="BF94" s="108"/>
      <c r="BG94" s="108"/>
    </row>
    <row r="95" spans="2:59" s="31" customFormat="1" ht="46.5" x14ac:dyDescent="0.3">
      <c r="B95" s="45" t="s">
        <v>526</v>
      </c>
      <c r="C95" s="112" t="str">
        <f>IF(ISNUMBER(C84),C84,"")</f>
        <v/>
      </c>
      <c r="D95" s="113" t="str">
        <f>D84</f>
        <v>m3ktr</v>
      </c>
      <c r="G95" s="112">
        <f>IF(ISNUMBER(G84),G84,"")</f>
        <v>1.8</v>
      </c>
      <c r="H95" s="84" t="str">
        <f>IF(D95="t","t/t","t/m3")</f>
        <v>t/m3</v>
      </c>
      <c r="I95" s="84"/>
      <c r="J95" s="173" t="s">
        <v>441</v>
      </c>
      <c r="K95" s="96">
        <f>IF(ISNUMBER(L95),L95,IF(OR(C96=Pudotusvalikot!$D$14,C96=Pudotusvalikot!$D$15),Kalusto!$G$96,VLOOKUP(C96,Kalusto!$C$44:$G$83,5,FALSE))*IF(OR(C97=Pudotusvalikot!$V$3,C97=Pudotusvalikot!$V$4),Muut!$E$38,IF(C97=Pudotusvalikot!$V$5,Muut!$E$39,IF(C97=Pudotusvalikot!$V$6,Muut!$E$40,Muut!$E$41))))</f>
        <v>6.1090000000000005E-2</v>
      </c>
      <c r="L95" s="40"/>
      <c r="M95" s="41" t="s">
        <v>200</v>
      </c>
      <c r="N95" s="41"/>
      <c r="O95" s="265"/>
      <c r="P95" s="149"/>
      <c r="Q95" s="104"/>
      <c r="R95" s="218" t="str">
        <f ca="1">IF(AND(NOT(ISNUMBER(AB95)),NOT(ISNUMBER(AG95))),"",IF(ISNUMBER(AB95),AB95,0)+IF(ISNUMBER(AG95),AG95,0))</f>
        <v/>
      </c>
      <c r="S95" s="232" t="s">
        <v>172</v>
      </c>
      <c r="T95" s="216" t="str">
        <f>IF(ISNUMBER(L95),"Kohdetieto",IF(OR(C96=Pudotusvalikot!$D$14,C96=Pudotusvalikot!$D$15),Kalusto!$I$96,VLOOKUP(C96,Kalusto!$C$44:$L$83,7,FALSE)))</f>
        <v>Maansiirtoauto</v>
      </c>
      <c r="U95" s="216">
        <f>IF(ISNUMBER(L95),"Kohdetieto",IF(OR(C96=Pudotusvalikot!$D$14,C96=Pudotusvalikot!$D$15),Kalusto!$J$96,VLOOKUP(C96,Kalusto!$C$44:$L$83,8,FALSE)))</f>
        <v>32</v>
      </c>
      <c r="V95" s="217">
        <f>IF(ISNUMBER(L95),"Kohdetieto",IF(OR(C96=Pudotusvalikot!$D$14,C96=Pudotusvalikot!$D$15),Kalusto!$K$96,VLOOKUP(C96,Kalusto!$C$44:$L$83,9,FALSE)))</f>
        <v>0.8</v>
      </c>
      <c r="W95" s="217" t="str">
        <f>IF(ISNUMBER(L95),"Kohdetieto",IF(OR(C96=Pudotusvalikot!$D$14,C96=Pudotusvalikot!$D$15),Kalusto!$L$96,VLOOKUP(C96,Kalusto!$C$44:$L$83,10,FALSE)))</f>
        <v>maantieajo</v>
      </c>
      <c r="X95" s="218" t="str">
        <f>IF(ISBLANK(C95),"",IF(D95="t",C95,IF(ISNUMBER(C95*G95),C95*G95,"")))</f>
        <v/>
      </c>
      <c r="Y95" s="216" t="str">
        <f>IF(ISNUMBER(C98),C98,"")</f>
        <v/>
      </c>
      <c r="Z95" s="218" t="str">
        <f>IF(ISNUMBER(X95/(U95*V95)*Y95),X95/(U95*V95)*Y95,"")</f>
        <v/>
      </c>
      <c r="AA95" s="219">
        <f>IF(ISNUMBER(L95),L95,K95)</f>
        <v>6.1090000000000005E-2</v>
      </c>
      <c r="AB95" s="218" t="str">
        <f>IF(ISNUMBER(Y95*X95*K95),Y95*X95*K95,"")</f>
        <v/>
      </c>
      <c r="AC95" s="218" t="str">
        <f>IF(C120="Kyllä",Y95,"")</f>
        <v/>
      </c>
      <c r="AD95" s="218" t="str">
        <f>IF(C120="Kyllä",IF(ISNUMBER(X95/(U95*V95)),X95/(U95*V95),""),"")</f>
        <v/>
      </c>
      <c r="AE95" s="218" t="str">
        <f>IF(ISNUMBER(AD95*AC95),AD95*AC95,"")</f>
        <v/>
      </c>
      <c r="AF95" s="219">
        <f ca="1">IF(ISNUMBER(L96),L96,K96)</f>
        <v>0.71940999999999999</v>
      </c>
      <c r="AG95" s="218" t="str">
        <f ca="1">IF(ISNUMBER(AC95*AD95*K96),AC95*AD95*K96,"")</f>
        <v/>
      </c>
      <c r="AH95" s="216">
        <f>IF(T95="Jakelukuorma-auto",0,IF(T95="Maansiirtoauto",4,IF(T95="Puoliperävaunu",6,8)))</f>
        <v>4</v>
      </c>
      <c r="AI95" s="216">
        <f>IF(AND(T95="Jakelukuorma-auto",U95=6),0,IF(AND(T95="Jakelukuorma-auto",U95=15),2,0))</f>
        <v>0</v>
      </c>
      <c r="AJ95" s="216">
        <f>IF(W95="maantieajo",0,1)</f>
        <v>0</v>
      </c>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31" x14ac:dyDescent="0.3">
      <c r="B96" s="170" t="s">
        <v>512</v>
      </c>
      <c r="C96" s="392" t="s">
        <v>84</v>
      </c>
      <c r="D96" s="393"/>
      <c r="E96" s="393"/>
      <c r="F96" s="393"/>
      <c r="G96" s="394"/>
      <c r="H96" s="84"/>
      <c r="I96" s="84"/>
      <c r="J96" s="33" t="s">
        <v>442</v>
      </c>
      <c r="K96" s="96">
        <f ca="1">IF(ISNUMBER(L96),L96,IF($C$147="Ei","",IF(AND($C$147="Kyllä",OR(C96=Pudotusvalikot!$D$14,C96=Pudotusvalikot!$D$15)),Kalusto!$G$97,OFFSET(Kalusto!$G$85,AH95+AJ95+AI95,0,1,1)))*IF(OR(C97=Pudotusvalikot!$V$3,C97=Pudotusvalikot!$V$4),Muut!$E$38,IF(C97=Pudotusvalikot!$V$5,Muut!$E$39,IF(C97=Pudotusvalikot!$V$6,Muut!$E$40,Muut!$E$41))))</f>
        <v>0.71940999999999999</v>
      </c>
      <c r="L96" s="40"/>
      <c r="M96" s="41" t="s">
        <v>204</v>
      </c>
      <c r="N96" s="41"/>
      <c r="O96" s="265"/>
      <c r="P96" s="147"/>
      <c r="Q96" s="105"/>
      <c r="R96" s="44"/>
      <c r="S96" s="44"/>
      <c r="T96" s="44"/>
      <c r="U96" s="44"/>
      <c r="V96" s="44"/>
      <c r="W96" s="44"/>
      <c r="X96" s="44"/>
      <c r="Y96" s="44"/>
      <c r="Z96" s="44"/>
      <c r="AA96" s="44"/>
      <c r="AB96" s="44"/>
      <c r="AC96" s="44"/>
      <c r="AD96" s="44"/>
      <c r="AE96" s="44"/>
      <c r="AF96" s="44"/>
      <c r="AG96" s="44"/>
      <c r="AH96" s="44"/>
      <c r="AI96" s="44"/>
      <c r="AJ96" s="44"/>
      <c r="AK96" s="108"/>
      <c r="AL96" s="36"/>
      <c r="AM96" s="36"/>
      <c r="AN96" s="37"/>
      <c r="AO96" s="37"/>
      <c r="AP96" s="37"/>
      <c r="AQ96" s="37"/>
      <c r="AR96" s="37"/>
      <c r="AS96" s="37"/>
      <c r="AT96" s="37"/>
      <c r="AU96" s="37"/>
      <c r="AV96" s="37"/>
      <c r="AW96" s="37"/>
      <c r="AX96" s="37"/>
      <c r="AY96" s="37"/>
      <c r="AZ96" s="37"/>
      <c r="BA96" s="37"/>
      <c r="BB96" s="37"/>
      <c r="BC96" s="37"/>
      <c r="BD96" s="37"/>
      <c r="BE96" s="37"/>
      <c r="BF96" s="108"/>
      <c r="BG96" s="108"/>
    </row>
    <row r="97" spans="2:59" s="31" customFormat="1" ht="15.5" x14ac:dyDescent="0.3">
      <c r="B97" s="186" t="s">
        <v>506</v>
      </c>
      <c r="C97" s="160" t="s">
        <v>242</v>
      </c>
      <c r="D97" s="34"/>
      <c r="E97" s="34"/>
      <c r="F97" s="34"/>
      <c r="G97" s="34"/>
      <c r="H97" s="59"/>
      <c r="J97" s="173"/>
      <c r="K97" s="173"/>
      <c r="L97" s="173"/>
      <c r="M97" s="41"/>
      <c r="N97" s="41"/>
      <c r="O97" s="265"/>
      <c r="Q97" s="47"/>
      <c r="R97" s="232"/>
      <c r="S97" s="232"/>
      <c r="T97" s="44"/>
      <c r="U97" s="44"/>
      <c r="V97" s="220"/>
      <c r="W97" s="220"/>
      <c r="X97" s="221"/>
      <c r="Y97" s="44"/>
      <c r="Z97" s="221"/>
      <c r="AA97" s="222"/>
      <c r="AB97" s="221"/>
      <c r="AC97" s="221"/>
      <c r="AD97" s="221"/>
      <c r="AE97" s="221"/>
      <c r="AF97" s="222"/>
      <c r="AG97" s="221"/>
      <c r="AH97" s="44"/>
      <c r="AI97" s="44"/>
      <c r="AJ97" s="44"/>
      <c r="AK97" s="108"/>
      <c r="AL97" s="36"/>
      <c r="AM97" s="36"/>
      <c r="AN97" s="37"/>
      <c r="AO97" s="37"/>
      <c r="AP97" s="37"/>
      <c r="AQ97" s="37"/>
      <c r="AR97" s="37"/>
      <c r="AS97" s="37"/>
      <c r="AT97" s="37"/>
      <c r="AU97" s="37"/>
      <c r="AV97" s="37"/>
      <c r="AW97" s="37"/>
      <c r="AX97" s="37"/>
      <c r="AY97" s="37"/>
      <c r="AZ97" s="37"/>
      <c r="BA97" s="37"/>
      <c r="BB97" s="37"/>
      <c r="BC97" s="37"/>
      <c r="BD97" s="37"/>
      <c r="BE97" s="37"/>
    </row>
    <row r="98" spans="2:59" s="31" customFormat="1" ht="15.5" x14ac:dyDescent="0.3">
      <c r="B98" s="45" t="s">
        <v>525</v>
      </c>
      <c r="C98" s="162"/>
      <c r="D98" s="84" t="s">
        <v>5</v>
      </c>
      <c r="G98" s="34"/>
      <c r="H98" s="84"/>
      <c r="I98" s="84"/>
      <c r="J98" s="33"/>
      <c r="K98" s="34"/>
      <c r="L98" s="34"/>
      <c r="M98" s="84"/>
      <c r="N98" s="84"/>
      <c r="O98" s="100"/>
      <c r="P98" s="150"/>
      <c r="Q98" s="105"/>
      <c r="R98" s="44"/>
      <c r="S98" s="44"/>
      <c r="T98" s="44"/>
      <c r="U98" s="44"/>
      <c r="V98" s="44"/>
      <c r="W98" s="44"/>
      <c r="X98" s="44"/>
      <c r="Y98" s="44"/>
      <c r="Z98" s="44"/>
      <c r="AA98" s="44"/>
      <c r="AB98" s="44"/>
      <c r="AC98" s="44"/>
      <c r="AD98" s="44"/>
      <c r="AE98" s="44"/>
      <c r="AF98" s="44"/>
      <c r="AG98" s="44"/>
      <c r="AH98" s="44"/>
      <c r="AI98" s="44"/>
      <c r="AJ98" s="44"/>
      <c r="AK98" s="108"/>
      <c r="AL98" s="36"/>
      <c r="AM98" s="36"/>
      <c r="AN98" s="37"/>
      <c r="AO98" s="37"/>
      <c r="AP98" s="37"/>
      <c r="AQ98" s="37"/>
      <c r="AR98" s="37"/>
      <c r="AS98" s="37"/>
      <c r="AT98" s="37"/>
      <c r="AU98" s="37"/>
      <c r="AV98" s="37"/>
      <c r="AW98" s="37"/>
      <c r="AX98" s="37"/>
      <c r="AY98" s="37"/>
      <c r="AZ98" s="37"/>
      <c r="BA98" s="37"/>
      <c r="BB98" s="37"/>
      <c r="BC98" s="37"/>
      <c r="BD98" s="37"/>
      <c r="BE98" s="37"/>
      <c r="BF98" s="108"/>
      <c r="BG98" s="108"/>
    </row>
    <row r="99" spans="2:59" s="31" customFormat="1" ht="15.5" x14ac:dyDescent="0.3">
      <c r="B99" s="95" t="str">
        <f>IF(LEFT(B85,6)="Murske","Murske",B85)</f>
        <v>Murske</v>
      </c>
      <c r="C99" s="34"/>
      <c r="D99" s="84"/>
      <c r="G99" s="34"/>
      <c r="H99" s="84"/>
      <c r="I99" s="84"/>
      <c r="J99" s="33"/>
      <c r="K99" s="38" t="s">
        <v>329</v>
      </c>
      <c r="L99" s="38" t="s">
        <v>201</v>
      </c>
      <c r="M99" s="86"/>
      <c r="N99" s="86"/>
      <c r="O99" s="266"/>
      <c r="P99" s="148"/>
      <c r="Q99" s="37"/>
      <c r="R99" s="44" t="s">
        <v>350</v>
      </c>
      <c r="S99" s="44"/>
      <c r="T99" s="44" t="s">
        <v>446</v>
      </c>
      <c r="U99" s="44" t="s">
        <v>445</v>
      </c>
      <c r="V99" s="44" t="s">
        <v>443</v>
      </c>
      <c r="W99" s="44" t="s">
        <v>444</v>
      </c>
      <c r="X99" s="44" t="s">
        <v>447</v>
      </c>
      <c r="Y99" s="44" t="s">
        <v>449</v>
      </c>
      <c r="Z99" s="44" t="s">
        <v>448</v>
      </c>
      <c r="AA99" s="44" t="s">
        <v>202</v>
      </c>
      <c r="AB99" s="44" t="s">
        <v>380</v>
      </c>
      <c r="AC99" s="44" t="s">
        <v>450</v>
      </c>
      <c r="AD99" s="44" t="s">
        <v>381</v>
      </c>
      <c r="AE99" s="44" t="s">
        <v>451</v>
      </c>
      <c r="AF99" s="44" t="s">
        <v>452</v>
      </c>
      <c r="AG99" s="44" t="s">
        <v>638</v>
      </c>
      <c r="AH99" s="44" t="s">
        <v>206</v>
      </c>
      <c r="AI99" s="44" t="s">
        <v>278</v>
      </c>
      <c r="AJ99" s="44" t="s">
        <v>207</v>
      </c>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46.5" x14ac:dyDescent="0.3">
      <c r="B100" s="45" t="s">
        <v>526</v>
      </c>
      <c r="C100" s="112" t="str">
        <f>IF(ISNUMBER(C85),C85,"")</f>
        <v/>
      </c>
      <c r="D100" s="113" t="str">
        <f>D85</f>
        <v>m3ktr</v>
      </c>
      <c r="G100" s="112">
        <f>IF(ISNUMBER(G85),G85,"")</f>
        <v>1.6666666666666667</v>
      </c>
      <c r="H100" s="84" t="str">
        <f>IF(D100="t","t/t","t/m3")</f>
        <v>t/m3</v>
      </c>
      <c r="I100" s="84"/>
      <c r="J100" s="173" t="s">
        <v>441</v>
      </c>
      <c r="K100" s="96">
        <f>IF(ISNUMBER(L100),L100,IF(OR(C101=Pudotusvalikot!$D$14,C101=Pudotusvalikot!$D$15),Kalusto!$G$96,VLOOKUP(C101,Kalusto!$C$44:$G$83,5,FALSE))*IF(OR(C102=Pudotusvalikot!$V$3,C102=Pudotusvalikot!$V$4),Muut!$E$38,IF(C102=Pudotusvalikot!$V$5,Muut!$E$39,IF(C102=Pudotusvalikot!$V$6,Muut!$E$40,Muut!$E$41))))</f>
        <v>6.1090000000000005E-2</v>
      </c>
      <c r="L100" s="40"/>
      <c r="M100" s="41" t="s">
        <v>200</v>
      </c>
      <c r="N100" s="41"/>
      <c r="O100" s="265"/>
      <c r="P100" s="149"/>
      <c r="Q100" s="104"/>
      <c r="R100" s="218" t="str">
        <f ca="1">IF(AND(NOT(ISNUMBER(AB100)),NOT(ISNUMBER(AG100))),"",IF(ISNUMBER(AB100),AB100,0)+IF(ISNUMBER(AG100),AG100,0))</f>
        <v/>
      </c>
      <c r="S100" s="232" t="s">
        <v>172</v>
      </c>
      <c r="T100" s="216" t="str">
        <f>IF(ISNUMBER(L100),"Kohdetieto",IF(OR(C101=Pudotusvalikot!$D$14,C101=Pudotusvalikot!$D$15),Kalusto!$I$96,VLOOKUP(C101,Kalusto!$C$44:$L$83,7,FALSE)))</f>
        <v>Maansiirtoauto</v>
      </c>
      <c r="U100" s="216">
        <f>IF(ISNUMBER(L100),"Kohdetieto",IF(OR(C101=Pudotusvalikot!$D$14,C101=Pudotusvalikot!$D$15),Kalusto!$J$96,VLOOKUP(C101,Kalusto!$C$44:$L$83,8,FALSE)))</f>
        <v>32</v>
      </c>
      <c r="V100" s="217">
        <f>IF(ISNUMBER(L100),"Kohdetieto",IF(OR(C101=Pudotusvalikot!$D$14,C101=Pudotusvalikot!$D$15),Kalusto!$K$96,VLOOKUP(C101,Kalusto!$C$44:$L$83,9,FALSE)))</f>
        <v>0.8</v>
      </c>
      <c r="W100" s="217" t="str">
        <f>IF(ISNUMBER(L100),"Kohdetieto",IF(OR(C101=Pudotusvalikot!$D$14,C101=Pudotusvalikot!$D$15),Kalusto!$L$96,VLOOKUP(C101,Kalusto!$C$44:$L$83,10,FALSE)))</f>
        <v>maantieajo</v>
      </c>
      <c r="X100" s="218" t="str">
        <f>IF(ISBLANK(C100),"",IF(D100="t",C100,IF(ISNUMBER(C100*G100),C100*G100,"")))</f>
        <v/>
      </c>
      <c r="Y100" s="216" t="str">
        <f>IF(ISNUMBER(C103),C103,"")</f>
        <v/>
      </c>
      <c r="Z100" s="218" t="str">
        <f>IF(ISNUMBER(X100/(U100*V100)*Y100),X100/(U100*V100)*Y100,"")</f>
        <v/>
      </c>
      <c r="AA100" s="219">
        <f>IF(ISNUMBER(L100),L100,K100)</f>
        <v>6.1090000000000005E-2</v>
      </c>
      <c r="AB100" s="218" t="str">
        <f>IF(ISNUMBER(Y100*X100*K100),Y100*X100*K100,"")</f>
        <v/>
      </c>
      <c r="AC100" s="218" t="str">
        <f>IF(C120="Kyllä",Y100,"")</f>
        <v/>
      </c>
      <c r="AD100" s="218" t="str">
        <f>IF(C120="Kyllä",IF(ISNUMBER(X100/(U100*V100)),X100/(U100*V100),""),"")</f>
        <v/>
      </c>
      <c r="AE100" s="218" t="str">
        <f>IF(ISNUMBER(AD100*AC100),AD100*AC100,"")</f>
        <v/>
      </c>
      <c r="AF100" s="219">
        <f ca="1">IF(ISNUMBER(L101),L101,K101)</f>
        <v>0.71940999999999999</v>
      </c>
      <c r="AG100" s="218" t="str">
        <f ca="1">IF(ISNUMBER(AC100*AD100*K101),AC100*AD100*K101,"")</f>
        <v/>
      </c>
      <c r="AH100" s="216">
        <f>IF(T100="Jakelukuorma-auto",0,IF(T100="Maansiirtoauto",4,IF(T100="Puoliperävaunu",6,8)))</f>
        <v>4</v>
      </c>
      <c r="AI100" s="216">
        <f>IF(AND(T100="Jakelukuorma-auto",U100=6),0,IF(AND(T100="Jakelukuorma-auto",U100=15),2,0))</f>
        <v>0</v>
      </c>
      <c r="AJ100" s="216">
        <f>IF(W100="maantieajo",0,1)</f>
        <v>0</v>
      </c>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31" x14ac:dyDescent="0.3">
      <c r="B101" s="170" t="s">
        <v>512</v>
      </c>
      <c r="C101" s="392" t="s">
        <v>84</v>
      </c>
      <c r="D101" s="393"/>
      <c r="E101" s="393"/>
      <c r="F101" s="393"/>
      <c r="G101" s="394"/>
      <c r="H101" s="84"/>
      <c r="I101" s="84"/>
      <c r="J101" s="33" t="s">
        <v>442</v>
      </c>
      <c r="K101" s="96">
        <f ca="1">IF(ISNUMBER(L101),L101,IF($C$147="Ei","",IF(AND($C$147="Kyllä",OR(C101=Pudotusvalikot!$D$14,C101=Pudotusvalikot!$D$15)),Kalusto!$G$97,OFFSET(Kalusto!$G$85,AH100+AJ100+AI100,0,1,1)))*IF(OR(C102=Pudotusvalikot!$V$3,C102=Pudotusvalikot!$V$4),Muut!$E$38,IF(C102=Pudotusvalikot!$V$5,Muut!$E$39,IF(C102=Pudotusvalikot!$V$6,Muut!$E$40,Muut!$E$41))))</f>
        <v>0.71940999999999999</v>
      </c>
      <c r="L101" s="40"/>
      <c r="M101" s="41" t="s">
        <v>204</v>
      </c>
      <c r="N101" s="41"/>
      <c r="O101" s="265"/>
      <c r="P101" s="147"/>
      <c r="Q101" s="105"/>
      <c r="R101" s="44"/>
      <c r="S101" s="44"/>
      <c r="T101" s="44"/>
      <c r="U101" s="44"/>
      <c r="V101" s="44"/>
      <c r="W101" s="44"/>
      <c r="X101" s="44"/>
      <c r="Y101" s="44"/>
      <c r="Z101" s="44"/>
      <c r="AA101" s="44"/>
      <c r="AB101" s="44"/>
      <c r="AC101" s="44"/>
      <c r="AD101" s="44"/>
      <c r="AE101" s="44"/>
      <c r="AF101" s="44"/>
      <c r="AG101" s="44"/>
      <c r="AH101" s="44"/>
      <c r="AI101" s="44"/>
      <c r="AJ101" s="44"/>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15.5" x14ac:dyDescent="0.3">
      <c r="B102" s="186" t="s">
        <v>506</v>
      </c>
      <c r="C102" s="160" t="s">
        <v>242</v>
      </c>
      <c r="D102" s="34"/>
      <c r="E102" s="34"/>
      <c r="F102" s="34"/>
      <c r="G102" s="34"/>
      <c r="H102" s="59"/>
      <c r="J102" s="173"/>
      <c r="K102" s="173"/>
      <c r="L102" s="173"/>
      <c r="M102" s="41"/>
      <c r="N102" s="41"/>
      <c r="O102" s="265"/>
      <c r="Q102" s="47"/>
      <c r="R102" s="232"/>
      <c r="S102" s="232"/>
      <c r="T102" s="44"/>
      <c r="U102" s="44"/>
      <c r="V102" s="220"/>
      <c r="W102" s="220"/>
      <c r="X102" s="221"/>
      <c r="Y102" s="44"/>
      <c r="Z102" s="221"/>
      <c r="AA102" s="222"/>
      <c r="AB102" s="221"/>
      <c r="AC102" s="221"/>
      <c r="AD102" s="221"/>
      <c r="AE102" s="221"/>
      <c r="AF102" s="222"/>
      <c r="AG102" s="221"/>
      <c r="AH102" s="44"/>
      <c r="AI102" s="44"/>
      <c r="AJ102" s="44"/>
      <c r="AK102" s="108"/>
      <c r="AL102" s="36"/>
      <c r="AM102" s="36"/>
      <c r="AN102" s="37"/>
      <c r="AO102" s="37"/>
      <c r="AP102" s="37"/>
      <c r="AQ102" s="37"/>
      <c r="AR102" s="37"/>
      <c r="AS102" s="37"/>
      <c r="AT102" s="37"/>
      <c r="AU102" s="37"/>
      <c r="AV102" s="37"/>
      <c r="AW102" s="37"/>
      <c r="AX102" s="37"/>
      <c r="AY102" s="37"/>
      <c r="AZ102" s="37"/>
      <c r="BA102" s="37"/>
      <c r="BB102" s="37"/>
      <c r="BC102" s="37"/>
      <c r="BD102" s="37"/>
      <c r="BE102" s="37"/>
    </row>
    <row r="103" spans="2:59" s="31" customFormat="1" ht="15.5" x14ac:dyDescent="0.3">
      <c r="B103" s="45" t="s">
        <v>525</v>
      </c>
      <c r="C103" s="162"/>
      <c r="D103" s="84" t="s">
        <v>5</v>
      </c>
      <c r="G103" s="34"/>
      <c r="H103" s="84"/>
      <c r="I103" s="84"/>
      <c r="J103" s="33"/>
      <c r="K103" s="34"/>
      <c r="L103" s="34"/>
      <c r="M103" s="84"/>
      <c r="N103" s="84"/>
      <c r="O103" s="100"/>
      <c r="P103" s="150"/>
      <c r="Q103" s="105"/>
      <c r="R103" s="44"/>
      <c r="S103" s="44"/>
      <c r="T103" s="44"/>
      <c r="U103" s="44"/>
      <c r="V103" s="44"/>
      <c r="W103" s="44"/>
      <c r="X103" s="44"/>
      <c r="Y103" s="44"/>
      <c r="Z103" s="44"/>
      <c r="AA103" s="44"/>
      <c r="AB103" s="44"/>
      <c r="AC103" s="44"/>
      <c r="AD103" s="44"/>
      <c r="AE103" s="44"/>
      <c r="AF103" s="44"/>
      <c r="AG103" s="44"/>
      <c r="AH103" s="44"/>
      <c r="AI103" s="44"/>
      <c r="AJ103" s="44"/>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15.5" x14ac:dyDescent="0.3">
      <c r="B104" s="95" t="str">
        <f>IF(LEFT(B86,4)="Sora","Sora",B86)</f>
        <v>Sora</v>
      </c>
      <c r="C104" s="34"/>
      <c r="D104" s="84"/>
      <c r="G104" s="34"/>
      <c r="H104" s="84"/>
      <c r="I104" s="84"/>
      <c r="J104" s="33"/>
      <c r="K104" s="38" t="s">
        <v>329</v>
      </c>
      <c r="L104" s="38" t="s">
        <v>201</v>
      </c>
      <c r="M104" s="86"/>
      <c r="N104" s="86"/>
      <c r="O104" s="266"/>
      <c r="P104" s="148"/>
      <c r="Q104" s="37"/>
      <c r="R104" s="44" t="s">
        <v>350</v>
      </c>
      <c r="S104" s="44"/>
      <c r="T104" s="44" t="s">
        <v>446</v>
      </c>
      <c r="U104" s="44" t="s">
        <v>445</v>
      </c>
      <c r="V104" s="44" t="s">
        <v>443</v>
      </c>
      <c r="W104" s="44" t="s">
        <v>444</v>
      </c>
      <c r="X104" s="44" t="s">
        <v>447</v>
      </c>
      <c r="Y104" s="44" t="s">
        <v>449</v>
      </c>
      <c r="Z104" s="44" t="s">
        <v>448</v>
      </c>
      <c r="AA104" s="44" t="s">
        <v>202</v>
      </c>
      <c r="AB104" s="44" t="s">
        <v>380</v>
      </c>
      <c r="AC104" s="44" t="s">
        <v>450</v>
      </c>
      <c r="AD104" s="44" t="s">
        <v>381</v>
      </c>
      <c r="AE104" s="44" t="s">
        <v>451</v>
      </c>
      <c r="AF104" s="44" t="s">
        <v>452</v>
      </c>
      <c r="AG104" s="44" t="s">
        <v>638</v>
      </c>
      <c r="AH104" s="44" t="s">
        <v>206</v>
      </c>
      <c r="AI104" s="44" t="s">
        <v>278</v>
      </c>
      <c r="AJ104" s="44" t="s">
        <v>207</v>
      </c>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46.5" x14ac:dyDescent="0.3">
      <c r="B105" s="45" t="s">
        <v>526</v>
      </c>
      <c r="C105" s="112" t="str">
        <f>IF(ISNUMBER(C86),C86,"")</f>
        <v/>
      </c>
      <c r="D105" s="113" t="str">
        <f>D86</f>
        <v>m3ktr</v>
      </c>
      <c r="G105" s="112">
        <f>IF(ISNUMBER(G86),G86,"")</f>
        <v>1.6666666666666667</v>
      </c>
      <c r="H105" s="84" t="str">
        <f>IF(D105="t","t/t","t/m3")</f>
        <v>t/m3</v>
      </c>
      <c r="I105" s="84"/>
      <c r="J105" s="173" t="s">
        <v>441</v>
      </c>
      <c r="K105" s="96">
        <f>IF(ISNUMBER(L105),L105,IF(OR(C106=Pudotusvalikot!$D$14,C106=Pudotusvalikot!$D$15),Kalusto!$G$96,VLOOKUP(C106,Kalusto!$C$44:$G$83,5,FALSE))*IF(OR(C107=Pudotusvalikot!$V$3,C107=Pudotusvalikot!$V$4),Muut!$E$38,IF(C107=Pudotusvalikot!$V$5,Muut!$E$39,IF(C107=Pudotusvalikot!$V$6,Muut!$E$40,Muut!$E$41))))</f>
        <v>6.1090000000000005E-2</v>
      </c>
      <c r="L105" s="40"/>
      <c r="M105" s="41" t="s">
        <v>200</v>
      </c>
      <c r="N105" s="41"/>
      <c r="O105" s="265"/>
      <c r="P105" s="149"/>
      <c r="Q105" s="104"/>
      <c r="R105" s="218" t="str">
        <f ca="1">IF(AND(NOT(ISNUMBER(AB105)),NOT(ISNUMBER(AG105))),"",IF(ISNUMBER(AB105),AB105,0)+IF(ISNUMBER(AG105),AG105,0))</f>
        <v/>
      </c>
      <c r="S105" s="232" t="s">
        <v>172</v>
      </c>
      <c r="T105" s="216" t="str">
        <f>IF(ISNUMBER(L105),"Kohdetieto",IF(OR(C106=Pudotusvalikot!$D$14,C106=Pudotusvalikot!$D$15),Kalusto!$I$96,VLOOKUP(C106,Kalusto!$C$44:$L$83,7,FALSE)))</f>
        <v>Maansiirtoauto</v>
      </c>
      <c r="U105" s="216">
        <f>IF(ISNUMBER(L105),"Kohdetieto",IF(OR(C106=Pudotusvalikot!$D$14,C106=Pudotusvalikot!$D$15),Kalusto!$J$96,VLOOKUP(C106,Kalusto!$C$44:$L$83,8,FALSE)))</f>
        <v>32</v>
      </c>
      <c r="V105" s="217">
        <f>IF(ISNUMBER(L105),"Kohdetieto",IF(OR(C106=Pudotusvalikot!$D$14,C106=Pudotusvalikot!$D$15),Kalusto!$K$96,VLOOKUP(C106,Kalusto!$C$44:$L$83,9,FALSE)))</f>
        <v>0.8</v>
      </c>
      <c r="W105" s="217" t="str">
        <f>IF(ISNUMBER(L105),"Kohdetieto",IF(OR(C106=Pudotusvalikot!$D$14,C106=Pudotusvalikot!$D$15),Kalusto!$L$96,VLOOKUP(C106,Kalusto!$C$44:$L$83,10,FALSE)))</f>
        <v>maantieajo</v>
      </c>
      <c r="X105" s="218" t="str">
        <f>IF(ISBLANK(C105),"",IF(D105="t",C105,IF(ISNUMBER(C105*G105),C105*G105,"")))</f>
        <v/>
      </c>
      <c r="Y105" s="216" t="str">
        <f>IF(ISNUMBER(C108),C108,"")</f>
        <v/>
      </c>
      <c r="Z105" s="218" t="str">
        <f>IF(ISNUMBER(X105/(U105*V105)*Y105),X105/(U105*V105)*Y105,"")</f>
        <v/>
      </c>
      <c r="AA105" s="219">
        <f>IF(ISNUMBER(L105),L105,K105)</f>
        <v>6.1090000000000005E-2</v>
      </c>
      <c r="AB105" s="218" t="str">
        <f>IF(ISNUMBER(Y105*X105*K105),Y105*X105*K105,"")</f>
        <v/>
      </c>
      <c r="AC105" s="218" t="str">
        <f>IF(C120="Kyllä",Y105,"")</f>
        <v/>
      </c>
      <c r="AD105" s="218" t="str">
        <f>IF(C120="Kyllä",IF(ISNUMBER(X105/(U105*V105)),X105/(U105*V105),""),"")</f>
        <v/>
      </c>
      <c r="AE105" s="218" t="str">
        <f>IF(ISNUMBER(AD105*AC105),AD105*AC105,"")</f>
        <v/>
      </c>
      <c r="AF105" s="219">
        <f ca="1">IF(ISNUMBER(L106),L106,K106)</f>
        <v>0.71940999999999999</v>
      </c>
      <c r="AG105" s="218" t="str">
        <f ca="1">IF(ISNUMBER(AC105*AD105*K106),AC105*AD105*K106,"")</f>
        <v/>
      </c>
      <c r="AH105" s="216">
        <f>IF(T105="Jakelukuorma-auto",0,IF(T105="Maansiirtoauto",4,IF(T105="Puoliperävaunu",6,8)))</f>
        <v>4</v>
      </c>
      <c r="AI105" s="216">
        <f>IF(AND(T105="Jakelukuorma-auto",U105=6),0,IF(AND(T105="Jakelukuorma-auto",U105=15),2,0))</f>
        <v>0</v>
      </c>
      <c r="AJ105" s="216">
        <f>IF(W105="maantieajo",0,1)</f>
        <v>0</v>
      </c>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31" x14ac:dyDescent="0.3">
      <c r="B106" s="170" t="s">
        <v>512</v>
      </c>
      <c r="C106" s="392" t="s">
        <v>84</v>
      </c>
      <c r="D106" s="393"/>
      <c r="E106" s="393"/>
      <c r="F106" s="393"/>
      <c r="G106" s="394"/>
      <c r="H106" s="84"/>
      <c r="I106" s="84"/>
      <c r="J106" s="33" t="s">
        <v>442</v>
      </c>
      <c r="K106" s="96">
        <f ca="1">IF(ISNUMBER(L106),L106,IF($C$147="Ei","",IF(AND($C$147="Kyllä",OR(C106=Pudotusvalikot!$D$14,C106=Pudotusvalikot!$D$15)),Kalusto!$G$97,OFFSET(Kalusto!$G$85,AH105+AJ105+AI105,0,1,1)))*IF(OR(C107=Pudotusvalikot!$V$3,C107=Pudotusvalikot!$V$4),Muut!$E$38,IF(C107=Pudotusvalikot!$V$5,Muut!$E$39,IF(C107=Pudotusvalikot!$V$6,Muut!$E$40,Muut!$E$41))))</f>
        <v>0.71940999999999999</v>
      </c>
      <c r="L106" s="40"/>
      <c r="M106" s="41" t="s">
        <v>204</v>
      </c>
      <c r="N106" s="41"/>
      <c r="O106" s="265"/>
      <c r="P106" s="147"/>
      <c r="Q106" s="105"/>
      <c r="R106" s="44"/>
      <c r="S106" s="44"/>
      <c r="T106" s="44"/>
      <c r="U106" s="44"/>
      <c r="V106" s="44"/>
      <c r="W106" s="44"/>
      <c r="X106" s="44"/>
      <c r="Y106" s="44"/>
      <c r="Z106" s="44"/>
      <c r="AA106" s="44"/>
      <c r="AB106" s="44"/>
      <c r="AC106" s="44"/>
      <c r="AD106" s="44"/>
      <c r="AE106" s="44"/>
      <c r="AF106" s="44"/>
      <c r="AG106" s="44"/>
      <c r="AH106" s="44"/>
      <c r="AI106" s="44"/>
      <c r="AJ106" s="44"/>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15.5" x14ac:dyDescent="0.3">
      <c r="B107" s="186" t="s">
        <v>506</v>
      </c>
      <c r="C107" s="160" t="s">
        <v>242</v>
      </c>
      <c r="D107" s="34"/>
      <c r="E107" s="34"/>
      <c r="F107" s="34"/>
      <c r="G107" s="34"/>
      <c r="H107" s="59"/>
      <c r="J107" s="173"/>
      <c r="K107" s="173"/>
      <c r="L107" s="173"/>
      <c r="M107" s="41"/>
      <c r="N107" s="41"/>
      <c r="O107" s="265"/>
      <c r="Q107" s="47"/>
      <c r="R107" s="232"/>
      <c r="S107" s="232"/>
      <c r="T107" s="44"/>
      <c r="U107" s="44"/>
      <c r="V107" s="220"/>
      <c r="W107" s="220"/>
      <c r="X107" s="221"/>
      <c r="Y107" s="44"/>
      <c r="Z107" s="221"/>
      <c r="AA107" s="222"/>
      <c r="AB107" s="221"/>
      <c r="AC107" s="221"/>
      <c r="AD107" s="221"/>
      <c r="AE107" s="221"/>
      <c r="AF107" s="222"/>
      <c r="AG107" s="221"/>
      <c r="AH107" s="44"/>
      <c r="AI107" s="44"/>
      <c r="AJ107" s="44"/>
      <c r="AK107" s="108"/>
      <c r="AL107" s="36"/>
      <c r="AM107" s="36"/>
      <c r="AN107" s="37"/>
      <c r="AO107" s="37"/>
      <c r="AP107" s="37"/>
      <c r="AQ107" s="37"/>
      <c r="AR107" s="37"/>
      <c r="AS107" s="37"/>
      <c r="AT107" s="37"/>
      <c r="AU107" s="37"/>
      <c r="AV107" s="37"/>
      <c r="AW107" s="37"/>
      <c r="AX107" s="37"/>
      <c r="AY107" s="37"/>
      <c r="AZ107" s="37"/>
      <c r="BA107" s="37"/>
      <c r="BB107" s="37"/>
      <c r="BC107" s="37"/>
      <c r="BD107" s="37"/>
      <c r="BE107" s="37"/>
    </row>
    <row r="108" spans="2:59" s="31" customFormat="1" ht="15.5" x14ac:dyDescent="0.3">
      <c r="B108" s="45" t="s">
        <v>525</v>
      </c>
      <c r="C108" s="162"/>
      <c r="D108" s="84" t="s">
        <v>5</v>
      </c>
      <c r="G108" s="34"/>
      <c r="H108" s="84"/>
      <c r="I108" s="84"/>
      <c r="J108" s="33"/>
      <c r="K108" s="34"/>
      <c r="L108" s="34"/>
      <c r="M108" s="84"/>
      <c r="N108" s="84"/>
      <c r="O108" s="100"/>
      <c r="P108" s="150"/>
      <c r="Q108" s="105"/>
      <c r="R108" s="44"/>
      <c r="S108" s="44"/>
      <c r="T108" s="44"/>
      <c r="U108" s="44"/>
      <c r="V108" s="44"/>
      <c r="W108" s="44"/>
      <c r="X108" s="44"/>
      <c r="Y108" s="44"/>
      <c r="Z108" s="44"/>
      <c r="AA108" s="44"/>
      <c r="AB108" s="44"/>
      <c r="AC108" s="44"/>
      <c r="AD108" s="44"/>
      <c r="AE108" s="44"/>
      <c r="AF108" s="44"/>
      <c r="AG108" s="44"/>
      <c r="AH108" s="44"/>
      <c r="AI108" s="44"/>
      <c r="AJ108" s="44"/>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15.5" x14ac:dyDescent="0.3">
      <c r="B109" s="95" t="str">
        <f>IF(LEFT(B87,6)="Hiekka","Hiekka",B87)</f>
        <v>Hiekka</v>
      </c>
      <c r="C109" s="34"/>
      <c r="D109" s="84"/>
      <c r="G109" s="34"/>
      <c r="H109" s="84"/>
      <c r="I109" s="84"/>
      <c r="J109" s="33"/>
      <c r="K109" s="38" t="s">
        <v>329</v>
      </c>
      <c r="L109" s="38" t="s">
        <v>201</v>
      </c>
      <c r="M109" s="86"/>
      <c r="N109" s="86"/>
      <c r="O109" s="266"/>
      <c r="P109" s="148"/>
      <c r="Q109" s="37"/>
      <c r="R109" s="44" t="s">
        <v>350</v>
      </c>
      <c r="S109" s="44"/>
      <c r="T109" s="44" t="s">
        <v>446</v>
      </c>
      <c r="U109" s="44" t="s">
        <v>445</v>
      </c>
      <c r="V109" s="44" t="s">
        <v>443</v>
      </c>
      <c r="W109" s="44" t="s">
        <v>444</v>
      </c>
      <c r="X109" s="44" t="s">
        <v>447</v>
      </c>
      <c r="Y109" s="44" t="s">
        <v>449</v>
      </c>
      <c r="Z109" s="44" t="s">
        <v>448</v>
      </c>
      <c r="AA109" s="44" t="s">
        <v>202</v>
      </c>
      <c r="AB109" s="44" t="s">
        <v>380</v>
      </c>
      <c r="AC109" s="44" t="s">
        <v>450</v>
      </c>
      <c r="AD109" s="44" t="s">
        <v>381</v>
      </c>
      <c r="AE109" s="44" t="s">
        <v>451</v>
      </c>
      <c r="AF109" s="44" t="s">
        <v>452</v>
      </c>
      <c r="AG109" s="44" t="s">
        <v>638</v>
      </c>
      <c r="AH109" s="44" t="s">
        <v>206</v>
      </c>
      <c r="AI109" s="44" t="s">
        <v>278</v>
      </c>
      <c r="AJ109" s="44" t="s">
        <v>207</v>
      </c>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46.5" x14ac:dyDescent="0.3">
      <c r="B110" s="45" t="s">
        <v>526</v>
      </c>
      <c r="C110" s="112" t="str">
        <f>IF(ISNUMBER(C87),C87,"")</f>
        <v/>
      </c>
      <c r="D110" s="113" t="str">
        <f>D87</f>
        <v>m3ktr</v>
      </c>
      <c r="G110" s="112">
        <f>IF(ISNUMBER(G87),G87,"")</f>
        <v>1.4285714285714286</v>
      </c>
      <c r="H110" s="84" t="str">
        <f>IF(D110="t","t/t","t/m3")</f>
        <v>t/m3</v>
      </c>
      <c r="I110" s="84"/>
      <c r="J110" s="173" t="s">
        <v>441</v>
      </c>
      <c r="K110" s="96">
        <f>IF(ISNUMBER(L110),L110,IF(OR(C111=Pudotusvalikot!$D$14,C111=Pudotusvalikot!$D$15),Kalusto!$G$96,VLOOKUP(C111,Kalusto!$C$44:$G$83,5,FALSE))*IF(OR(C112=Pudotusvalikot!$V$3,C112=Pudotusvalikot!$V$4),Muut!$E$38,IF(C112=Pudotusvalikot!$V$5,Muut!$E$39,IF(C112=Pudotusvalikot!$V$6,Muut!$E$40,Muut!$E$41))))</f>
        <v>6.1090000000000005E-2</v>
      </c>
      <c r="L110" s="40"/>
      <c r="M110" s="41" t="s">
        <v>200</v>
      </c>
      <c r="N110" s="41"/>
      <c r="O110" s="265"/>
      <c r="P110" s="149"/>
      <c r="Q110" s="104"/>
      <c r="R110" s="218" t="str">
        <f ca="1">IF(AND(NOT(ISNUMBER(AB110)),NOT(ISNUMBER(AG110))),"",IF(ISNUMBER(AB110),AB110,0)+IF(ISNUMBER(AG110),AG110,0))</f>
        <v/>
      </c>
      <c r="S110" s="232" t="s">
        <v>172</v>
      </c>
      <c r="T110" s="216" t="str">
        <f>IF(ISNUMBER(L110),"Kohdetieto",IF(OR(C111=Pudotusvalikot!$D$14,C111=Pudotusvalikot!$D$15),Kalusto!$I$96,VLOOKUP(C111,Kalusto!$C$44:$L$83,7,FALSE)))</f>
        <v>Maansiirtoauto</v>
      </c>
      <c r="U110" s="216">
        <f>IF(ISNUMBER(L110),"Kohdetieto",IF(OR(C111=Pudotusvalikot!$D$14,C111=Pudotusvalikot!$D$15),Kalusto!$J$96,VLOOKUP(C111,Kalusto!$C$44:$L$83,8,FALSE)))</f>
        <v>32</v>
      </c>
      <c r="V110" s="217">
        <f>IF(ISNUMBER(L110),"Kohdetieto",IF(OR(C111=Pudotusvalikot!$D$14,C111=Pudotusvalikot!$D$15),Kalusto!$K$96,VLOOKUP(C111,Kalusto!$C$44:$L$83,9,FALSE)))</f>
        <v>0.8</v>
      </c>
      <c r="W110" s="217" t="str">
        <f>IF(ISNUMBER(L110),"Kohdetieto",IF(OR(C111=Pudotusvalikot!$D$14,C111=Pudotusvalikot!$D$15),Kalusto!$L$96,VLOOKUP(C111,Kalusto!$C$44:$L$83,10,FALSE)))</f>
        <v>maantieajo</v>
      </c>
      <c r="X110" s="218" t="str">
        <f>IF(ISBLANK(C110),"",IF(D110="t",C110,IF(ISNUMBER(C110*G110),C110*G110,"")))</f>
        <v/>
      </c>
      <c r="Y110" s="216" t="str">
        <f>IF(ISNUMBER(C113),C113,"")</f>
        <v/>
      </c>
      <c r="Z110" s="218" t="str">
        <f>IF(ISNUMBER(X110/(U110*V110)*Y110),X110/(U110*V110)*Y110,"")</f>
        <v/>
      </c>
      <c r="AA110" s="219">
        <f>IF(ISNUMBER(L110),L110,K110)</f>
        <v>6.1090000000000005E-2</v>
      </c>
      <c r="AB110" s="218" t="str">
        <f>IF(ISNUMBER(Y110*X110*K110),Y110*X110*K110,"")</f>
        <v/>
      </c>
      <c r="AC110" s="218" t="str">
        <f>IF(C120="Kyllä",Y110,"")</f>
        <v/>
      </c>
      <c r="AD110" s="218" t="str">
        <f>IF(C120="Kyllä",IF(ISNUMBER(X110/(U110*V110)),X110/(U110*V110),""),"")</f>
        <v/>
      </c>
      <c r="AE110" s="218" t="str">
        <f>IF(ISNUMBER(AD110*AC110),AD110*AC110,"")</f>
        <v/>
      </c>
      <c r="AF110" s="219">
        <f ca="1">IF(ISNUMBER(L111),L111,K111)</f>
        <v>0.71940999999999999</v>
      </c>
      <c r="AG110" s="218" t="str">
        <f ca="1">IF(ISNUMBER(AC110*AD110*K111),AC110*AD110*K111,"")</f>
        <v/>
      </c>
      <c r="AH110" s="216">
        <f>IF(T110="Jakelukuorma-auto",0,IF(T110="Maansiirtoauto",4,IF(T110="Puoliperävaunu",6,8)))</f>
        <v>4</v>
      </c>
      <c r="AI110" s="216">
        <f>IF(AND(T110="Jakelukuorma-auto",U110=6),0,IF(AND(T110="Jakelukuorma-auto",U110=15),2,0))</f>
        <v>0</v>
      </c>
      <c r="AJ110" s="216">
        <f>IF(W110="maantieajo",0,1)</f>
        <v>0</v>
      </c>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31" x14ac:dyDescent="0.3">
      <c r="B111" s="170" t="s">
        <v>512</v>
      </c>
      <c r="C111" s="392" t="s">
        <v>84</v>
      </c>
      <c r="D111" s="393"/>
      <c r="E111" s="393"/>
      <c r="F111" s="393"/>
      <c r="G111" s="394"/>
      <c r="H111" s="84"/>
      <c r="I111" s="84"/>
      <c r="J111" s="33" t="s">
        <v>442</v>
      </c>
      <c r="K111" s="96">
        <f ca="1">IF(ISNUMBER(L111),L111,IF($C$147="Ei","",IF(AND($C$147="Kyllä",OR(C111=Pudotusvalikot!$D$14,C111=Pudotusvalikot!$D$15)),Kalusto!$G$97,OFFSET(Kalusto!$G$85,AH110+AJ110+AI110,0,1,1)))*IF(OR(C112=Pudotusvalikot!$V$3,C112=Pudotusvalikot!$V$4),Muut!$E$38,IF(C112=Pudotusvalikot!$V$5,Muut!$E$39,IF(C112=Pudotusvalikot!$V$6,Muut!$E$40,Muut!$E$41))))</f>
        <v>0.71940999999999999</v>
      </c>
      <c r="L111" s="40"/>
      <c r="M111" s="41" t="s">
        <v>204</v>
      </c>
      <c r="N111" s="41"/>
      <c r="O111" s="265"/>
      <c r="P111" s="147"/>
      <c r="Q111" s="105"/>
      <c r="R111" s="44"/>
      <c r="S111" s="44"/>
      <c r="T111" s="44"/>
      <c r="U111" s="44"/>
      <c r="V111" s="44"/>
      <c r="W111" s="44"/>
      <c r="X111" s="44"/>
      <c r="Y111" s="44"/>
      <c r="Z111" s="44"/>
      <c r="AA111" s="44"/>
      <c r="AB111" s="44"/>
      <c r="AC111" s="44"/>
      <c r="AD111" s="44"/>
      <c r="AE111" s="44"/>
      <c r="AF111" s="44"/>
      <c r="AG111" s="44"/>
      <c r="AH111" s="44"/>
      <c r="AI111" s="44"/>
      <c r="AJ111" s="44"/>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15.5" x14ac:dyDescent="0.3">
      <c r="B112" s="186" t="s">
        <v>506</v>
      </c>
      <c r="C112" s="160" t="s">
        <v>242</v>
      </c>
      <c r="D112" s="34"/>
      <c r="E112" s="34"/>
      <c r="F112" s="34"/>
      <c r="G112" s="34"/>
      <c r="H112" s="59"/>
      <c r="J112" s="173"/>
      <c r="K112" s="173"/>
      <c r="L112" s="173"/>
      <c r="M112" s="41"/>
      <c r="N112" s="41"/>
      <c r="O112" s="265"/>
      <c r="Q112" s="47"/>
      <c r="R112" s="232"/>
      <c r="S112" s="232"/>
      <c r="T112" s="44"/>
      <c r="U112" s="44"/>
      <c r="V112" s="220"/>
      <c r="W112" s="220"/>
      <c r="X112" s="221"/>
      <c r="Y112" s="44"/>
      <c r="Z112" s="221"/>
      <c r="AA112" s="222"/>
      <c r="AB112" s="221"/>
      <c r="AC112" s="221"/>
      <c r="AD112" s="221"/>
      <c r="AE112" s="221"/>
      <c r="AF112" s="222"/>
      <c r="AG112" s="221"/>
      <c r="AH112" s="44"/>
      <c r="AI112" s="44"/>
      <c r="AJ112" s="44"/>
      <c r="AK112" s="108"/>
      <c r="AL112" s="36"/>
      <c r="AM112" s="36"/>
      <c r="AN112" s="37"/>
      <c r="AO112" s="37"/>
      <c r="AP112" s="37"/>
      <c r="AQ112" s="37"/>
      <c r="AR112" s="37"/>
      <c r="AS112" s="37"/>
      <c r="AT112" s="37"/>
      <c r="AU112" s="37"/>
      <c r="AV112" s="37"/>
      <c r="AW112" s="37"/>
      <c r="AX112" s="37"/>
      <c r="AY112" s="37"/>
      <c r="AZ112" s="37"/>
      <c r="BA112" s="37"/>
      <c r="BB112" s="37"/>
      <c r="BC112" s="37"/>
      <c r="BD112" s="37"/>
      <c r="BE112" s="37"/>
    </row>
    <row r="113" spans="2:59" s="31" customFormat="1" ht="15.5" x14ac:dyDescent="0.3">
      <c r="B113" s="45" t="s">
        <v>525</v>
      </c>
      <c r="C113" s="162"/>
      <c r="D113" s="84" t="s">
        <v>5</v>
      </c>
      <c r="G113" s="34"/>
      <c r="H113" s="84"/>
      <c r="I113" s="84"/>
      <c r="J113" s="33"/>
      <c r="K113" s="34"/>
      <c r="L113" s="34"/>
      <c r="M113" s="84"/>
      <c r="N113" s="84"/>
      <c r="O113" s="100"/>
      <c r="P113" s="150"/>
      <c r="Q113" s="105"/>
      <c r="R113" s="44"/>
      <c r="S113" s="44"/>
      <c r="T113" s="44"/>
      <c r="U113" s="44"/>
      <c r="V113" s="44"/>
      <c r="W113" s="44"/>
      <c r="X113" s="44"/>
      <c r="Y113" s="44"/>
      <c r="Z113" s="44"/>
      <c r="AA113" s="44"/>
      <c r="AB113" s="44"/>
      <c r="AC113" s="44"/>
      <c r="AD113" s="44"/>
      <c r="AE113" s="44"/>
      <c r="AF113" s="44"/>
      <c r="AG113" s="44"/>
      <c r="AH113" s="44"/>
      <c r="AI113" s="44"/>
      <c r="AJ113" s="44"/>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15.5" x14ac:dyDescent="0.3">
      <c r="B114" s="95" t="str">
        <f>B88</f>
        <v>Maa-aineksen 5 kuvaus (valitse yksikkö ja mahdollinen muuntokerroin tonneiksi)</v>
      </c>
      <c r="C114" s="34"/>
      <c r="D114" s="84"/>
      <c r="G114" s="34"/>
      <c r="H114" s="84"/>
      <c r="I114" s="84"/>
      <c r="J114" s="33"/>
      <c r="K114" s="38" t="s">
        <v>329</v>
      </c>
      <c r="L114" s="38" t="s">
        <v>201</v>
      </c>
      <c r="M114" s="86"/>
      <c r="N114" s="86"/>
      <c r="O114" s="266"/>
      <c r="P114" s="148"/>
      <c r="Q114" s="37"/>
      <c r="R114" s="44" t="s">
        <v>350</v>
      </c>
      <c r="S114" s="44"/>
      <c r="T114" s="44" t="s">
        <v>446</v>
      </c>
      <c r="U114" s="44" t="s">
        <v>445</v>
      </c>
      <c r="V114" s="44" t="s">
        <v>443</v>
      </c>
      <c r="W114" s="44" t="s">
        <v>444</v>
      </c>
      <c r="X114" s="44" t="s">
        <v>447</v>
      </c>
      <c r="Y114" s="44" t="s">
        <v>449</v>
      </c>
      <c r="Z114" s="44" t="s">
        <v>448</v>
      </c>
      <c r="AA114" s="44" t="s">
        <v>202</v>
      </c>
      <c r="AB114" s="44" t="s">
        <v>380</v>
      </c>
      <c r="AC114" s="44" t="s">
        <v>450</v>
      </c>
      <c r="AD114" s="44" t="s">
        <v>381</v>
      </c>
      <c r="AE114" s="44" t="s">
        <v>451</v>
      </c>
      <c r="AF114" s="44" t="s">
        <v>452</v>
      </c>
      <c r="AG114" s="44" t="s">
        <v>638</v>
      </c>
      <c r="AH114" s="44" t="s">
        <v>206</v>
      </c>
      <c r="AI114" s="44" t="s">
        <v>278</v>
      </c>
      <c r="AJ114" s="44" t="s">
        <v>207</v>
      </c>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46.5" x14ac:dyDescent="0.3">
      <c r="B115" s="45" t="s">
        <v>528</v>
      </c>
      <c r="C115" s="112" t="str">
        <f>IF(ISNUMBER(C88),C88,"")</f>
        <v/>
      </c>
      <c r="D115" s="113" t="str">
        <f>D88</f>
        <v>m3ktr</v>
      </c>
      <c r="G115" s="112" t="str">
        <f>IF(ISNUMBER(G88),G88,"")</f>
        <v/>
      </c>
      <c r="H115" s="84" t="str">
        <f>IF(D115="t","t/t","t/m3")</f>
        <v>t/m3</v>
      </c>
      <c r="I115" s="84"/>
      <c r="J115" s="173" t="s">
        <v>441</v>
      </c>
      <c r="K115" s="96">
        <f>IF(ISNUMBER(L115),L115,IF(OR(C116=Pudotusvalikot!$D$14,C116=Pudotusvalikot!$D$15),Kalusto!$G$96,VLOOKUP(C116,Kalusto!$C$44:$G$83,5,FALSE))*IF(OR(C117=Pudotusvalikot!$V$3,C117=Pudotusvalikot!$V$4),Muut!$E$38,IF(C117=Pudotusvalikot!$V$5,Muut!$E$39,IF(C117=Pudotusvalikot!$V$6,Muut!$E$40,Muut!$E$41))))</f>
        <v>6.1090000000000005E-2</v>
      </c>
      <c r="L115" s="40"/>
      <c r="M115" s="41" t="s">
        <v>200</v>
      </c>
      <c r="N115" s="41"/>
      <c r="O115" s="265"/>
      <c r="P115" s="149"/>
      <c r="Q115" s="104"/>
      <c r="R115" s="218" t="str">
        <f ca="1">IF(AND(NOT(ISNUMBER(AB115)),NOT(ISNUMBER(AG115))),"",IF(ISNUMBER(AB115),AB115,0)+IF(ISNUMBER(AG115),AG115,0))</f>
        <v/>
      </c>
      <c r="S115" s="232" t="s">
        <v>172</v>
      </c>
      <c r="T115" s="216" t="str">
        <f>IF(ISNUMBER(L115),"Kohdetieto",IF(OR(C116=Pudotusvalikot!$D$14,C116=Pudotusvalikot!$D$15),Kalusto!$I$96,VLOOKUP(C116,Kalusto!$C$44:$L$83,7,FALSE)))</f>
        <v>Maansiirtoauto</v>
      </c>
      <c r="U115" s="216">
        <f>IF(ISNUMBER(L115),"Kohdetieto",IF(OR(C116=Pudotusvalikot!$D$14,C116=Pudotusvalikot!$D$15),Kalusto!$J$96,VLOOKUP(C116,Kalusto!$C$44:$L$83,8,FALSE)))</f>
        <v>32</v>
      </c>
      <c r="V115" s="217">
        <f>IF(ISNUMBER(L115),"Kohdetieto",IF(OR(C116=Pudotusvalikot!$D$14,C116=Pudotusvalikot!$D$15),Kalusto!$K$96,VLOOKUP(C116,Kalusto!$C$44:$L$83,9,FALSE)))</f>
        <v>0.8</v>
      </c>
      <c r="W115" s="217" t="str">
        <f>IF(ISNUMBER(L115),"Kohdetieto",IF(OR(C116=Pudotusvalikot!$D$14,C116=Pudotusvalikot!$D$15),Kalusto!$L$96,VLOOKUP(C116,Kalusto!$C$44:$L$83,10,FALSE)))</f>
        <v>maantieajo</v>
      </c>
      <c r="X115" s="218" t="str">
        <f>IF(ISBLANK(C115),"",IF(D115="t",C115,IF(ISNUMBER(C115*G115),C115*G115,"")))</f>
        <v/>
      </c>
      <c r="Y115" s="216" t="str">
        <f>IF(ISNUMBER(C118),C118,"")</f>
        <v/>
      </c>
      <c r="Z115" s="218" t="str">
        <f>IF(ISNUMBER(X115/(U115*V115)*Y115),X115/(U115*V115)*Y115,"")</f>
        <v/>
      </c>
      <c r="AA115" s="219">
        <f>IF(ISNUMBER(L115),L115,K115)</f>
        <v>6.1090000000000005E-2</v>
      </c>
      <c r="AB115" s="218" t="str">
        <f>IF(ISNUMBER(Y115*X115*K115),Y115*X115*K115,"")</f>
        <v/>
      </c>
      <c r="AC115" s="218" t="str">
        <f>IF(C120="Kyllä",Y115,"")</f>
        <v/>
      </c>
      <c r="AD115" s="218" t="str">
        <f>IF(C120="Kyllä",IF(ISNUMBER(X115/(U115*V115)),X115/(U115*V115),""),"")</f>
        <v/>
      </c>
      <c r="AE115" s="218" t="str">
        <f>IF(ISNUMBER(AD115*AC115),AD115*AC115,"")</f>
        <v/>
      </c>
      <c r="AF115" s="219">
        <f ca="1">IF(ISNUMBER(L116),L116,K116)</f>
        <v>0.71940999999999999</v>
      </c>
      <c r="AG115" s="218" t="str">
        <f ca="1">IF(ISNUMBER(AC115*AD115*K116),AC115*AD115*K116,"")</f>
        <v/>
      </c>
      <c r="AH115" s="216">
        <f>IF(T115="Jakelukuorma-auto",0,IF(T115="Maansiirtoauto",4,IF(T115="Puoliperävaunu",6,8)))</f>
        <v>4</v>
      </c>
      <c r="AI115" s="216">
        <f>IF(AND(T115="Jakelukuorma-auto",U115=6),0,IF(AND(T115="Jakelukuorma-auto",U115=15),2,0))</f>
        <v>0</v>
      </c>
      <c r="AJ115" s="216">
        <f>IF(W115="maantieajo",0,1)</f>
        <v>0</v>
      </c>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31" x14ac:dyDescent="0.3">
      <c r="B116" s="170" t="s">
        <v>512</v>
      </c>
      <c r="C116" s="392" t="s">
        <v>84</v>
      </c>
      <c r="D116" s="393"/>
      <c r="E116" s="393"/>
      <c r="F116" s="393"/>
      <c r="G116" s="394"/>
      <c r="H116" s="84"/>
      <c r="I116" s="84"/>
      <c r="J116" s="33" t="s">
        <v>442</v>
      </c>
      <c r="K116" s="96">
        <f ca="1">IF(ISNUMBER(L116),L116,IF($C$147="Ei","",IF(AND($C$147="Kyllä",OR(C116=Pudotusvalikot!$D$14,C116=Pudotusvalikot!$D$15)),Kalusto!$G$97,OFFSET(Kalusto!$G$85,AH115+AJ115+AI115,0,1,1)))*IF(OR(C117=Pudotusvalikot!$V$3,C117=Pudotusvalikot!$V$4),Muut!$E$38,IF(C117=Pudotusvalikot!$V$5,Muut!$E$39,IF(C117=Pudotusvalikot!$V$6,Muut!$E$40,Muut!$E$41))))</f>
        <v>0.71940999999999999</v>
      </c>
      <c r="L116" s="40"/>
      <c r="M116" s="41" t="s">
        <v>204</v>
      </c>
      <c r="N116" s="41"/>
      <c r="O116" s="265"/>
      <c r="P116" s="147"/>
      <c r="Q116" s="105"/>
      <c r="R116" s="106"/>
      <c r="S116" s="44"/>
      <c r="T116" s="44"/>
      <c r="U116" s="44"/>
      <c r="V116" s="44"/>
      <c r="W116" s="44"/>
      <c r="X116" s="44"/>
      <c r="Y116" s="44"/>
      <c r="Z116" s="44"/>
      <c r="AA116" s="44"/>
      <c r="AB116" s="44"/>
      <c r="AC116" s="44"/>
      <c r="AD116" s="44"/>
      <c r="AE116" s="44"/>
      <c r="AF116" s="44"/>
      <c r="AG116" s="44"/>
      <c r="AH116" s="44"/>
      <c r="AI116" s="44"/>
      <c r="AJ116" s="44"/>
      <c r="AK116" s="36"/>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15.5" x14ac:dyDescent="0.3">
      <c r="B117" s="186" t="s">
        <v>506</v>
      </c>
      <c r="C117" s="160" t="s">
        <v>242</v>
      </c>
      <c r="D117" s="34"/>
      <c r="E117" s="34"/>
      <c r="F117" s="34"/>
      <c r="G117" s="34"/>
      <c r="H117" s="59"/>
      <c r="J117" s="173"/>
      <c r="K117" s="173"/>
      <c r="L117" s="173"/>
      <c r="M117" s="41"/>
      <c r="N117" s="41"/>
      <c r="O117" s="265"/>
      <c r="Q117" s="47"/>
      <c r="R117" s="232"/>
      <c r="S117" s="232"/>
      <c r="T117" s="44"/>
      <c r="U117" s="44"/>
      <c r="V117" s="220"/>
      <c r="W117" s="220"/>
      <c r="X117" s="221"/>
      <c r="Y117" s="44"/>
      <c r="Z117" s="221"/>
      <c r="AA117" s="222"/>
      <c r="AB117" s="221"/>
      <c r="AC117" s="221"/>
      <c r="AD117" s="221"/>
      <c r="AE117" s="221"/>
      <c r="AF117" s="222"/>
      <c r="AG117" s="221"/>
      <c r="AH117" s="44"/>
      <c r="AI117" s="44"/>
      <c r="AJ117" s="44"/>
      <c r="AK117" s="108"/>
      <c r="AL117" s="36"/>
      <c r="AM117" s="36"/>
      <c r="AN117" s="37"/>
      <c r="AO117" s="37"/>
      <c r="AP117" s="37"/>
      <c r="AQ117" s="37"/>
      <c r="AR117" s="37"/>
      <c r="AS117" s="37"/>
      <c r="AT117" s="37"/>
      <c r="AU117" s="37"/>
      <c r="AV117" s="37"/>
      <c r="AW117" s="37"/>
      <c r="AX117" s="37"/>
      <c r="AY117" s="37"/>
      <c r="AZ117" s="37"/>
      <c r="BA117" s="37"/>
      <c r="BB117" s="37"/>
      <c r="BC117" s="37"/>
      <c r="BD117" s="37"/>
      <c r="BE117" s="37"/>
    </row>
    <row r="118" spans="2:59" s="31" customFormat="1" ht="15.5" x14ac:dyDescent="0.3">
      <c r="B118" s="45" t="s">
        <v>525</v>
      </c>
      <c r="C118" s="162"/>
      <c r="D118" s="84" t="s">
        <v>5</v>
      </c>
      <c r="G118" s="34"/>
      <c r="H118" s="84"/>
      <c r="I118" s="84"/>
      <c r="J118" s="33"/>
      <c r="K118" s="34"/>
      <c r="L118" s="34"/>
      <c r="M118" s="84"/>
      <c r="N118" s="84"/>
      <c r="O118" s="100"/>
      <c r="P118" s="150"/>
      <c r="Q118" s="105"/>
      <c r="R118" s="106"/>
      <c r="S118" s="44"/>
      <c r="T118" s="44"/>
      <c r="U118" s="44"/>
      <c r="V118" s="44"/>
      <c r="W118" s="44"/>
      <c r="X118" s="44"/>
      <c r="Y118" s="44"/>
      <c r="Z118" s="44"/>
      <c r="AA118" s="44"/>
      <c r="AB118" s="44"/>
      <c r="AC118" s="44"/>
      <c r="AD118" s="44"/>
      <c r="AE118" s="44"/>
      <c r="AF118" s="44"/>
      <c r="AG118" s="44"/>
      <c r="AH118" s="44"/>
      <c r="AI118" s="44"/>
      <c r="AJ118" s="44"/>
      <c r="AK118" s="36"/>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15.5" x14ac:dyDescent="0.3">
      <c r="C119" s="34"/>
      <c r="D119" s="84"/>
      <c r="G119" s="34"/>
      <c r="H119" s="84"/>
      <c r="I119" s="84"/>
      <c r="J119" s="33"/>
      <c r="K119" s="34"/>
      <c r="L119" s="34"/>
      <c r="M119" s="84"/>
      <c r="N119" s="84"/>
      <c r="O119" s="100"/>
      <c r="P119" s="69"/>
      <c r="Q119" s="37"/>
      <c r="R119" s="106"/>
      <c r="S119" s="44"/>
      <c r="T119" s="44"/>
      <c r="U119" s="44"/>
      <c r="V119" s="44"/>
      <c r="W119" s="44"/>
      <c r="X119" s="44"/>
      <c r="Y119" s="44"/>
      <c r="Z119" s="44"/>
      <c r="AA119" s="44"/>
      <c r="AB119" s="44"/>
      <c r="AC119" s="44"/>
      <c r="AD119" s="44"/>
      <c r="AE119" s="44"/>
      <c r="AF119" s="44"/>
      <c r="AG119" s="44"/>
      <c r="AH119" s="44"/>
      <c r="AI119" s="44"/>
      <c r="AJ119" s="44"/>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46.5" x14ac:dyDescent="0.3">
      <c r="B120" s="78" t="s">
        <v>668</v>
      </c>
      <c r="C120" s="392" t="s">
        <v>6</v>
      </c>
      <c r="D120" s="394"/>
      <c r="G120" s="34"/>
      <c r="H120" s="84"/>
      <c r="J120" s="33"/>
      <c r="K120" s="34"/>
      <c r="L120" s="34"/>
      <c r="M120" s="84"/>
      <c r="N120" s="84"/>
      <c r="O120" s="100"/>
      <c r="P120" s="69"/>
      <c r="Q120" s="37"/>
      <c r="R120" s="106"/>
      <c r="S120" s="44"/>
      <c r="T120" s="44"/>
      <c r="U120" s="44"/>
      <c r="V120" s="44"/>
      <c r="W120" s="44"/>
      <c r="X120" s="44"/>
      <c r="Y120" s="44"/>
      <c r="Z120" s="44"/>
      <c r="AA120" s="44"/>
      <c r="AB120" s="44"/>
      <c r="AC120" s="44"/>
      <c r="AD120" s="44"/>
      <c r="AE120" s="44"/>
      <c r="AF120" s="44"/>
      <c r="AG120" s="44"/>
      <c r="AH120" s="44"/>
      <c r="AI120" s="44"/>
      <c r="AJ120" s="44"/>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15.5" x14ac:dyDescent="0.3">
      <c r="C121" s="34"/>
      <c r="D121" s="84"/>
      <c r="G121" s="34"/>
      <c r="H121" s="84"/>
      <c r="J121" s="33"/>
      <c r="K121" s="34"/>
      <c r="L121" s="34"/>
      <c r="M121" s="84"/>
      <c r="N121" s="84"/>
      <c r="O121" s="84"/>
      <c r="Q121" s="35"/>
      <c r="R121" s="106"/>
      <c r="S121" s="44"/>
      <c r="T121" s="44"/>
      <c r="U121" s="44"/>
      <c r="V121" s="44"/>
      <c r="W121" s="44"/>
      <c r="X121" s="44"/>
      <c r="Y121" s="44"/>
      <c r="Z121" s="44"/>
      <c r="AA121" s="44"/>
      <c r="AB121" s="44"/>
      <c r="AC121" s="44"/>
      <c r="AD121" s="44"/>
      <c r="AE121" s="44"/>
      <c r="AF121" s="44"/>
      <c r="AG121" s="44"/>
      <c r="AH121" s="44"/>
      <c r="AI121" s="44"/>
      <c r="AJ121" s="44"/>
      <c r="AK121" s="36"/>
      <c r="AL121" s="36"/>
      <c r="AM121" s="36"/>
      <c r="AN121" s="37"/>
      <c r="AO121" s="37"/>
      <c r="AP121" s="37"/>
      <c r="AQ121" s="37"/>
      <c r="AR121" s="37"/>
      <c r="AS121" s="37"/>
      <c r="AT121" s="37"/>
      <c r="AU121" s="37"/>
      <c r="AV121" s="37"/>
      <c r="AW121" s="37"/>
      <c r="AX121" s="37"/>
      <c r="AY121" s="37"/>
      <c r="AZ121" s="37"/>
      <c r="BA121" s="37"/>
      <c r="BB121" s="37"/>
      <c r="BC121" s="37"/>
      <c r="BD121" s="37"/>
      <c r="BE121" s="37"/>
    </row>
    <row r="122" spans="2:59" s="298" customFormat="1" ht="18" x14ac:dyDescent="0.3">
      <c r="B122" s="295" t="s">
        <v>645</v>
      </c>
      <c r="C122" s="296"/>
      <c r="D122" s="297"/>
      <c r="G122" s="296"/>
      <c r="H122" s="297"/>
      <c r="K122" s="296"/>
      <c r="L122" s="296"/>
      <c r="M122" s="297"/>
      <c r="N122" s="297"/>
      <c r="O122" s="300"/>
      <c r="P122" s="320"/>
      <c r="Q122" s="304"/>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4"/>
      <c r="AO122" s="304"/>
      <c r="AP122" s="304"/>
      <c r="AQ122" s="304"/>
      <c r="AR122" s="304"/>
      <c r="AS122" s="304"/>
      <c r="AT122" s="304"/>
      <c r="AU122" s="304"/>
      <c r="AV122" s="304"/>
      <c r="AW122" s="304"/>
      <c r="AX122" s="304"/>
      <c r="AY122" s="304"/>
      <c r="AZ122" s="304"/>
      <c r="BA122" s="304"/>
      <c r="BB122" s="304"/>
      <c r="BC122" s="304"/>
      <c r="BD122" s="304"/>
      <c r="BE122" s="304"/>
    </row>
    <row r="123" spans="2:59" s="31" customFormat="1" ht="77.5" x14ac:dyDescent="0.3">
      <c r="B123" s="9"/>
      <c r="C123" s="34" t="s">
        <v>50</v>
      </c>
      <c r="D123" s="84"/>
      <c r="G123" s="38" t="s">
        <v>529</v>
      </c>
      <c r="H123" s="84"/>
      <c r="J123" s="33"/>
      <c r="K123" s="38" t="s">
        <v>329</v>
      </c>
      <c r="L123" s="38" t="s">
        <v>201</v>
      </c>
      <c r="O123" s="255" t="s">
        <v>644</v>
      </c>
      <c r="P123" s="148"/>
      <c r="Q123" s="108"/>
      <c r="R123" s="36" t="s">
        <v>350</v>
      </c>
      <c r="S123" s="36"/>
      <c r="T123" s="36" t="s">
        <v>469</v>
      </c>
      <c r="U123" s="36" t="s">
        <v>351</v>
      </c>
      <c r="V123" s="36" t="s">
        <v>352</v>
      </c>
      <c r="W123" s="108"/>
      <c r="X123" s="108"/>
      <c r="Y123" s="36"/>
      <c r="Z123" s="36"/>
      <c r="AA123" s="36"/>
      <c r="AB123" s="36"/>
      <c r="AC123" s="36"/>
      <c r="AD123" s="36"/>
      <c r="AE123" s="36"/>
      <c r="AF123" s="36"/>
      <c r="AG123" s="36"/>
      <c r="AH123" s="36"/>
      <c r="AI123" s="36"/>
      <c r="AJ123" s="36"/>
      <c r="AK123" s="36"/>
      <c r="AL123" s="36"/>
      <c r="AM123" s="36"/>
      <c r="AN123" s="36"/>
      <c r="AO123" s="36"/>
      <c r="AP123" s="37"/>
      <c r="AQ123" s="37"/>
      <c r="AR123" s="37"/>
      <c r="AS123" s="37"/>
      <c r="AT123" s="37"/>
      <c r="AU123" s="37"/>
      <c r="AV123" s="37"/>
      <c r="AW123" s="37"/>
      <c r="AX123" s="37"/>
      <c r="AY123" s="37"/>
      <c r="AZ123" s="37"/>
      <c r="BA123" s="37"/>
      <c r="BB123" s="37"/>
      <c r="BC123" s="37"/>
      <c r="BD123" s="37"/>
      <c r="BE123" s="37"/>
      <c r="BF123" s="37"/>
      <c r="BG123" s="37"/>
    </row>
    <row r="124" spans="2:59" s="31" customFormat="1" ht="31" x14ac:dyDescent="0.3">
      <c r="B124" s="78" t="s">
        <v>477</v>
      </c>
      <c r="C124" s="160">
        <f>SUM(C84:C90)</f>
        <v>0</v>
      </c>
      <c r="D124" s="84" t="s">
        <v>214</v>
      </c>
      <c r="G124" s="175">
        <f>IF(ISNUMBER(SUM(V84:V88)),SUM(V84:V88),"")</f>
        <v>0</v>
      </c>
      <c r="H124" s="84"/>
      <c r="J124" s="33" t="s">
        <v>470</v>
      </c>
      <c r="K124" s="138">
        <f>IF(ISNUMBER(L124),L124,IF(OR(C125=Pudotusvalikot!$D$67,C125=Pudotusvalikot!$D$68),"--",VLOOKUP(C125,Kalusto!$C$5:$E$42,3,FALSE)*IF(OR(C126=Pudotusvalikot!$V$3,C126=Pudotusvalikot!$V$4),Muut!$E$38,IF(C126=Pudotusvalikot!$V$5,Muut!$E$39,IF(C126=Pudotusvalikot!$V$6,Muut!$E$40,Muut!$E$41)))))</f>
        <v>34.130000000000003</v>
      </c>
      <c r="L124" s="63"/>
      <c r="M124" s="41" t="s">
        <v>205</v>
      </c>
      <c r="N124" s="41"/>
      <c r="O124" s="256"/>
      <c r="P124" s="151"/>
      <c r="Q124" s="108"/>
      <c r="R124" s="50" t="str">
        <f>IF(ISNUMBER(K124*V124),K124*V124,"")</f>
        <v/>
      </c>
      <c r="S124" s="102" t="s">
        <v>172</v>
      </c>
      <c r="T124" s="50">
        <f>IF(ISNUMBER(C124),C124,IF(ISNUMBER(G124),G124,""))</f>
        <v>0</v>
      </c>
      <c r="U124" s="64" t="str">
        <f>IF(D127="h","",IF(ISNUMBER(C127),C127,""))</f>
        <v/>
      </c>
      <c r="V124" s="50" t="str">
        <f>IF(ISNUMBER(T124),IF(D127="h",D127,IF(ISNUMBER(T124*U124),IF(D127="m3/h",T124/U124,T124*U124),"")),"")</f>
        <v/>
      </c>
      <c r="W124" s="108"/>
      <c r="X124" s="108"/>
      <c r="Y124" s="108"/>
      <c r="Z124" s="61"/>
      <c r="AA124" s="36"/>
      <c r="AB124" s="36"/>
      <c r="AC124" s="62"/>
      <c r="AD124" s="36"/>
      <c r="AE124" s="36"/>
      <c r="AF124" s="36"/>
      <c r="AG124" s="36"/>
      <c r="AH124" s="36"/>
      <c r="AI124" s="36"/>
      <c r="AJ124" s="36"/>
      <c r="AK124" s="36"/>
      <c r="AL124" s="36"/>
      <c r="AM124" s="36"/>
      <c r="AN124" s="36"/>
      <c r="AO124" s="36"/>
      <c r="AP124" s="37"/>
      <c r="AQ124" s="37"/>
      <c r="AR124" s="37"/>
      <c r="AS124" s="37"/>
      <c r="AT124" s="37"/>
      <c r="AU124" s="37"/>
      <c r="AV124" s="37"/>
      <c r="AW124" s="37"/>
      <c r="AX124" s="37"/>
      <c r="AY124" s="37"/>
      <c r="AZ124" s="37"/>
      <c r="BA124" s="37"/>
      <c r="BB124" s="37"/>
      <c r="BC124" s="37"/>
      <c r="BD124" s="37"/>
      <c r="BE124" s="37"/>
      <c r="BF124" s="37"/>
      <c r="BG124" s="37"/>
    </row>
    <row r="125" spans="2:59" s="31" customFormat="1" ht="15.5" x14ac:dyDescent="0.3">
      <c r="B125" s="54" t="s">
        <v>510</v>
      </c>
      <c r="C125" s="392" t="s">
        <v>128</v>
      </c>
      <c r="D125" s="393"/>
      <c r="E125" s="393"/>
      <c r="F125" s="393"/>
      <c r="G125" s="394"/>
      <c r="H125" s="84"/>
      <c r="J125" s="33"/>
      <c r="O125" s="264"/>
      <c r="P125" s="69"/>
      <c r="Q125" s="108"/>
      <c r="R125" s="98"/>
      <c r="S125" s="108"/>
      <c r="T125" s="37"/>
      <c r="U125" s="36"/>
      <c r="V125" s="36"/>
      <c r="W125" s="36"/>
      <c r="X125" s="36"/>
      <c r="Y125" s="36"/>
      <c r="Z125" s="36"/>
      <c r="AA125" s="36"/>
      <c r="AB125" s="36"/>
      <c r="AC125" s="36"/>
      <c r="AD125" s="36"/>
      <c r="AE125" s="36"/>
      <c r="AF125" s="36"/>
      <c r="AG125" s="36"/>
      <c r="AH125" s="36"/>
      <c r="AI125" s="36"/>
      <c r="AJ125" s="36"/>
      <c r="AK125" s="36"/>
      <c r="AL125" s="36"/>
      <c r="AM125" s="36"/>
      <c r="AN125" s="36"/>
      <c r="AO125" s="36"/>
      <c r="AP125" s="37"/>
      <c r="AQ125" s="37"/>
      <c r="AR125" s="37"/>
      <c r="AS125" s="37"/>
      <c r="AT125" s="37"/>
      <c r="AU125" s="37"/>
      <c r="AV125" s="37"/>
      <c r="AW125" s="37"/>
      <c r="AX125" s="37"/>
      <c r="AY125" s="37"/>
      <c r="AZ125" s="37"/>
      <c r="BA125" s="37"/>
      <c r="BB125" s="37"/>
      <c r="BC125" s="37"/>
      <c r="BD125" s="37"/>
      <c r="BE125" s="37"/>
      <c r="BF125" s="37"/>
      <c r="BG125" s="37"/>
    </row>
    <row r="126" spans="2:59" s="31" customFormat="1" ht="15.5" x14ac:dyDescent="0.3">
      <c r="B126" s="170" t="s">
        <v>509</v>
      </c>
      <c r="C126" s="160" t="s">
        <v>242</v>
      </c>
      <c r="D126" s="34"/>
      <c r="E126" s="34"/>
      <c r="F126" s="34"/>
      <c r="G126" s="34"/>
      <c r="H126" s="59"/>
      <c r="J126" s="173"/>
      <c r="K126" s="173"/>
      <c r="L126" s="173"/>
      <c r="M126" s="41"/>
      <c r="N126" s="41"/>
      <c r="O126" s="256"/>
      <c r="Q126" s="47"/>
      <c r="R126" s="61"/>
      <c r="S126" s="102"/>
      <c r="T126" s="36"/>
      <c r="U126" s="36"/>
      <c r="V126" s="181"/>
      <c r="W126" s="181"/>
      <c r="X126" s="61"/>
      <c r="Y126" s="36"/>
      <c r="Z126" s="61"/>
      <c r="AA126" s="182"/>
      <c r="AB126" s="61"/>
      <c r="AC126" s="61"/>
      <c r="AD126" s="61"/>
      <c r="AE126" s="61"/>
      <c r="AF126" s="182"/>
      <c r="AG126" s="61"/>
      <c r="AH126" s="36"/>
      <c r="AI126" s="36"/>
      <c r="AJ126" s="36"/>
      <c r="AK126" s="108"/>
      <c r="AL126" s="36"/>
      <c r="AM126" s="36"/>
      <c r="AN126" s="37"/>
      <c r="AO126" s="37"/>
      <c r="AP126" s="37"/>
      <c r="AQ126" s="37"/>
      <c r="AR126" s="37"/>
      <c r="AS126" s="37"/>
      <c r="AT126" s="37"/>
      <c r="AU126" s="37"/>
      <c r="AV126" s="37"/>
      <c r="AW126" s="37"/>
      <c r="AX126" s="37"/>
      <c r="AY126" s="37"/>
      <c r="AZ126" s="37"/>
      <c r="BA126" s="37"/>
      <c r="BB126" s="37"/>
      <c r="BC126" s="37"/>
      <c r="BD126" s="37"/>
      <c r="BE126" s="37"/>
    </row>
    <row r="127" spans="2:59" s="31" customFormat="1" ht="31" x14ac:dyDescent="0.3">
      <c r="B127" s="78" t="s">
        <v>511</v>
      </c>
      <c r="C127" s="193"/>
      <c r="D127" s="89" t="s">
        <v>209</v>
      </c>
      <c r="G127" s="34"/>
      <c r="H127" s="84"/>
      <c r="J127" s="33"/>
      <c r="O127" s="264"/>
      <c r="P127" s="69"/>
      <c r="Q127" s="108"/>
      <c r="R127" s="98"/>
      <c r="S127" s="108"/>
      <c r="T127" s="37"/>
      <c r="U127" s="36"/>
      <c r="V127" s="36"/>
      <c r="W127" s="36"/>
      <c r="X127" s="36"/>
      <c r="Y127" s="36"/>
      <c r="Z127" s="36"/>
      <c r="AA127" s="36"/>
      <c r="AB127" s="36"/>
      <c r="AC127" s="36"/>
      <c r="AD127" s="36"/>
      <c r="AE127" s="36"/>
      <c r="AF127" s="36"/>
      <c r="AG127" s="36"/>
      <c r="AH127" s="36"/>
      <c r="AI127" s="36"/>
      <c r="AJ127" s="36"/>
      <c r="AK127" s="36"/>
      <c r="AL127" s="36"/>
      <c r="AM127" s="36"/>
      <c r="AN127" s="36"/>
      <c r="AO127" s="36"/>
      <c r="AP127" s="37"/>
      <c r="AQ127" s="37"/>
      <c r="AR127" s="37"/>
      <c r="AS127" s="37"/>
      <c r="AT127" s="37"/>
      <c r="AU127" s="37"/>
      <c r="AV127" s="37"/>
      <c r="AW127" s="37"/>
      <c r="AX127" s="37"/>
      <c r="AY127" s="37"/>
      <c r="AZ127" s="37"/>
      <c r="BA127" s="37"/>
      <c r="BB127" s="37"/>
      <c r="BC127" s="37"/>
      <c r="BD127" s="37"/>
      <c r="BE127" s="37"/>
      <c r="BF127" s="37"/>
      <c r="BG127" s="37"/>
    </row>
    <row r="128" spans="2:59" s="31" customFormat="1" ht="15.5" x14ac:dyDescent="0.3">
      <c r="C128" s="34"/>
      <c r="D128" s="84"/>
      <c r="G128" s="34"/>
      <c r="H128" s="84"/>
      <c r="J128" s="33"/>
      <c r="O128" s="171"/>
      <c r="P128" s="69"/>
      <c r="Q128" s="108"/>
      <c r="R128" s="98"/>
      <c r="S128" s="108"/>
      <c r="T128" s="37"/>
      <c r="U128" s="36"/>
      <c r="V128" s="36"/>
      <c r="W128" s="36"/>
      <c r="X128" s="36"/>
      <c r="Y128" s="36"/>
      <c r="Z128" s="36"/>
      <c r="AA128" s="36"/>
      <c r="AB128" s="36"/>
      <c r="AC128" s="36"/>
      <c r="AD128" s="36"/>
      <c r="AE128" s="36"/>
      <c r="AF128" s="36"/>
      <c r="AG128" s="36"/>
      <c r="AH128" s="36"/>
      <c r="AI128" s="36"/>
      <c r="AJ128" s="36"/>
      <c r="AK128" s="36"/>
      <c r="AL128" s="36"/>
      <c r="AM128" s="36"/>
      <c r="AN128" s="36"/>
      <c r="AO128" s="36"/>
      <c r="AP128" s="37"/>
      <c r="AQ128" s="37"/>
      <c r="AR128" s="37"/>
      <c r="AS128" s="37"/>
      <c r="AT128" s="37"/>
      <c r="AU128" s="37"/>
      <c r="AV128" s="37"/>
      <c r="AW128" s="37"/>
      <c r="AX128" s="37"/>
      <c r="AY128" s="37"/>
      <c r="AZ128" s="37"/>
      <c r="BA128" s="37"/>
      <c r="BB128" s="37"/>
      <c r="BC128" s="37"/>
      <c r="BD128" s="37"/>
      <c r="BE128" s="37"/>
      <c r="BF128" s="37"/>
      <c r="BG128" s="37"/>
    </row>
    <row r="129" spans="2:57" s="298" customFormat="1" ht="18" x14ac:dyDescent="0.3">
      <c r="B129" s="295" t="s">
        <v>675</v>
      </c>
      <c r="C129" s="296"/>
      <c r="D129" s="297"/>
      <c r="G129" s="296"/>
      <c r="H129" s="297"/>
      <c r="K129" s="296"/>
      <c r="L129" s="296"/>
      <c r="M129" s="297"/>
      <c r="N129" s="297"/>
      <c r="O129" s="300"/>
      <c r="P129" s="320"/>
      <c r="Q129" s="304"/>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4"/>
      <c r="AO129" s="304"/>
      <c r="AP129" s="304"/>
      <c r="AQ129" s="304"/>
      <c r="AR129" s="304"/>
      <c r="AS129" s="304"/>
      <c r="AT129" s="304"/>
      <c r="AU129" s="304"/>
      <c r="AV129" s="304"/>
      <c r="AW129" s="304"/>
      <c r="AX129" s="304"/>
      <c r="AY129" s="304"/>
      <c r="AZ129" s="304"/>
      <c r="BA129" s="304"/>
      <c r="BB129" s="304"/>
      <c r="BC129" s="304"/>
      <c r="BD129" s="304"/>
      <c r="BE129" s="304"/>
    </row>
    <row r="130" spans="2:57" s="31" customFormat="1" ht="15.5" x14ac:dyDescent="0.3">
      <c r="C130" s="34"/>
      <c r="D130" s="84"/>
      <c r="G130" s="34"/>
      <c r="H130" s="84"/>
      <c r="J130" s="33"/>
      <c r="K130" s="34"/>
      <c r="L130" s="34"/>
      <c r="M130" s="84"/>
      <c r="N130" s="84"/>
      <c r="O130" s="84"/>
      <c r="Q130" s="35"/>
      <c r="R130" s="106"/>
      <c r="S130" s="44"/>
      <c r="T130" s="44"/>
      <c r="U130" s="44"/>
      <c r="V130" s="44"/>
      <c r="W130" s="44"/>
      <c r="X130" s="44"/>
      <c r="Y130" s="44"/>
      <c r="Z130" s="44"/>
      <c r="AA130" s="44"/>
      <c r="AB130" s="44"/>
      <c r="AC130" s="44"/>
      <c r="AD130" s="44"/>
      <c r="AE130" s="44"/>
      <c r="AF130" s="44"/>
      <c r="AG130" s="44"/>
      <c r="AH130" s="44"/>
      <c r="AI130" s="44"/>
      <c r="AJ130" s="44"/>
      <c r="AK130" s="36"/>
      <c r="AL130" s="36"/>
      <c r="AM130" s="36"/>
      <c r="AN130" s="37"/>
      <c r="AO130" s="37"/>
      <c r="AP130" s="37"/>
      <c r="AQ130" s="37"/>
      <c r="AR130" s="37"/>
      <c r="AS130" s="37"/>
      <c r="AT130" s="37"/>
      <c r="AU130" s="37"/>
      <c r="AV130" s="37"/>
      <c r="AW130" s="37"/>
      <c r="AX130" s="37"/>
      <c r="AY130" s="37"/>
      <c r="AZ130" s="37"/>
      <c r="BA130" s="37"/>
      <c r="BB130" s="37"/>
      <c r="BC130" s="37"/>
      <c r="BD130" s="37"/>
      <c r="BE130" s="37"/>
    </row>
    <row r="131" spans="2:57" s="31" customFormat="1" ht="15.5" x14ac:dyDescent="0.3">
      <c r="B131" s="164" t="s">
        <v>335</v>
      </c>
      <c r="C131" s="34"/>
      <c r="D131" s="84"/>
      <c r="G131" s="34"/>
      <c r="H131" s="84"/>
      <c r="K131" s="38"/>
      <c r="L131" s="38"/>
      <c r="M131" s="84"/>
      <c r="N131" s="84"/>
      <c r="O131" s="255" t="s">
        <v>644</v>
      </c>
      <c r="Q131" s="35"/>
      <c r="R131" s="106"/>
      <c r="S131" s="44"/>
      <c r="T131" s="44"/>
      <c r="U131" s="44"/>
      <c r="V131" s="44"/>
      <c r="W131" s="44"/>
      <c r="X131" s="44"/>
      <c r="Y131" s="44"/>
      <c r="Z131" s="44"/>
      <c r="AA131" s="44"/>
      <c r="AB131" s="44"/>
      <c r="AC131" s="44"/>
      <c r="AD131" s="44"/>
      <c r="AE131" s="44"/>
      <c r="AF131" s="44"/>
      <c r="AG131" s="44"/>
      <c r="AH131" s="44"/>
      <c r="AI131" s="44"/>
      <c r="AJ131" s="44"/>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7" s="31" customFormat="1" ht="46.5" x14ac:dyDescent="0.3">
      <c r="B132" s="78" t="s">
        <v>726</v>
      </c>
      <c r="C132" s="395" t="s">
        <v>111</v>
      </c>
      <c r="D132" s="395"/>
      <c r="G132" s="34"/>
      <c r="H132" s="84"/>
      <c r="K132" s="38" t="s">
        <v>329</v>
      </c>
      <c r="L132" s="38" t="s">
        <v>201</v>
      </c>
      <c r="M132" s="84" t="s">
        <v>319</v>
      </c>
      <c r="N132" s="84"/>
      <c r="O132" s="256"/>
      <c r="Q132" s="35"/>
      <c r="R132" s="44" t="s">
        <v>350</v>
      </c>
      <c r="S132" s="44"/>
      <c r="T132" s="225"/>
      <c r="U132" s="44"/>
      <c r="V132" s="44"/>
      <c r="W132" s="44"/>
      <c r="X132" s="44"/>
      <c r="Y132" s="44"/>
      <c r="Z132" s="44"/>
      <c r="AA132" s="44"/>
      <c r="AB132" s="44"/>
      <c r="AC132" s="44"/>
      <c r="AD132" s="44"/>
      <c r="AE132" s="44"/>
      <c r="AF132" s="44"/>
      <c r="AG132" s="44"/>
      <c r="AH132" s="44"/>
      <c r="AI132" s="44"/>
      <c r="AJ132" s="44"/>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7" s="31" customFormat="1" ht="15.5" x14ac:dyDescent="0.3">
      <c r="B133" s="54" t="s">
        <v>599</v>
      </c>
      <c r="C133" s="162"/>
      <c r="D133" s="84" t="str">
        <f>IF(C132=Pudotusvalikot!$H$14,"Yksikkö",IF(C132=Pudotusvalikot!$H$15,Pudotusvalikot!$I$15,IF(C132=Pudotusvalikot!$H$16,Pudotusvalikot!$I$16,IF(C132=Pudotusvalikot!$H$17,Pudotusvalikot!$I$17,IF(C132=Pudotusvalikot!$H$18,Pudotusvalikot!$I$18,IF(C132=Pudotusvalikot!$H$19,Pudotusvalikot!$I$19,IF(C132=Pudotusvalikot!$H$20,Pudotusvalikot!$I$20,IF(C132=Pudotusvalikot!$H$21,Pudotusvalikot!$I$21,IF(C132=Pudotusvalikot!$H$22,Pudotusvalikot!$I$22,IF(C132=Pudotusvalikot!$H$23,Pudotusvalikot!$I$23,IF(C132=Pudotusvalikot!$H$24,Pudotusvalikot!$I$24,IF(C132=Pudotusvalikot!$H$25,Pudotusvalikot!$I$25,IF(C132=Pudotusvalikot!$H$26,Pudotusvalikot!$I$26,IF(C132=Pudotusvalikot!$H$27,Pudotusvalikot!$I$27,IF(C132=Pudotusvalikot!$H$28,Pudotusvalikot!$I$28,IF(C132=Pudotusvalikot!$H$29,Pudotusvalikot!$I$29,"Yksikkö"))))))))))))))))</f>
        <v>Yksikkö</v>
      </c>
      <c r="E133" s="34"/>
      <c r="F133" s="34"/>
      <c r="G133" s="34"/>
      <c r="H133" s="84"/>
      <c r="J133" s="33" t="s">
        <v>364</v>
      </c>
      <c r="K133" s="96" t="str">
        <f>IF(ISNUMBER(L133),L133,IF(C132=Pudotusvalikot!$H$14,"--",IF(C132=Pudotusvalikot!$H$15,Materiaalit!$G$39,IF(C132=Pudotusvalikot!$H$16,Materiaalit!$G$40,IF(C132=Pudotusvalikot!$H$17,Materiaalit!$G$41,IF(C132=Pudotusvalikot!$H$18,Materiaalit!$G$42,IF(C132=Pudotusvalikot!$H$19,Materiaalit!$G$43,IF(C132=Pudotusvalikot!$H$20,Materiaalit!$G$44,IF(C132=Pudotusvalikot!$H$21,Materiaalit!$G$45,IF(C132=Pudotusvalikot!$H$22,Materiaalit!$G$46,IF(C132=Pudotusvalikot!$H$23,Materiaalit!$G$47,IF(C132=Pudotusvalikot!$H$24,Materiaalit!$G$48,IF(C132=Pudotusvalikot!$H$25,Materiaalit!$G$49,IF(C132=Pudotusvalikot!$H$26,Materiaalit!$G$50,IF(C132=Pudotusvalikot!$H$27,Materiaalit!$G$51,IF(C132=Pudotusvalikot!$H$28,Materiaalit!$G$52,"Anna kerroin"))))))))))))))))</f>
        <v>--</v>
      </c>
      <c r="L133" s="40"/>
      <c r="M133" s="96" t="str">
        <f>IF(D133="Yksikkö","--","kgCO2e/" &amp;D133)</f>
        <v>--</v>
      </c>
      <c r="N133" s="42"/>
      <c r="O133" s="267"/>
      <c r="Q133" s="35"/>
      <c r="R133" s="218" t="str">
        <f>IF(NOT(AND(ISNUMBER(K133),ISNUMBER(C133))),"",C133*K133*IF(C132=Pudotusvalikot!$H$14,1,IF(C132=Pudotusvalikot!$H$15,Materiaalit!$K$39,IF(C132=Pudotusvalikot!$H$16,Materiaalit!$K$40,IF(C132=Pudotusvalikot!$H$17,Materiaalit!$K$41,IF(C132=Pudotusvalikot!$H$18,Materiaalit!$K$42,IF(C132=Pudotusvalikot!$H$19,Materiaalit!$K$43,IF(C132=Pudotusvalikot!$H$20,Materiaalit!$K$44,IF(C132=Pudotusvalikot!$H$21,Materiaalit!$K$45,IF(C132=Pudotusvalikot!$H$22,Materiaalit!$K$46,IF(C132=Pudotusvalikot!$H$23,Materiaalit!$K$47,IF(C132=Pudotusvalikot!$H$24,Materiaalit!$K$48,IF(C132=Pudotusvalikot!$H$25,Materiaalit!$K$49,IF(C132=Pudotusvalikot!$H$26,Materiaalit!$K$50,IF(C132=Pudotusvalikot!$H$27,Materiaalit!$K$51,Materiaalit!$K$52)))))))))))))))</f>
        <v/>
      </c>
      <c r="S133" s="232" t="s">
        <v>172</v>
      </c>
      <c r="T133" s="225"/>
      <c r="U133" s="44"/>
      <c r="V133" s="44"/>
      <c r="W133" s="44"/>
      <c r="X133" s="44"/>
      <c r="Y133" s="44"/>
      <c r="Z133" s="44"/>
      <c r="AA133" s="44"/>
      <c r="AB133" s="44"/>
      <c r="AC133" s="44"/>
      <c r="AD133" s="44"/>
      <c r="AE133" s="44"/>
      <c r="AF133" s="44"/>
      <c r="AG133" s="44"/>
      <c r="AH133" s="44"/>
      <c r="AI133" s="44"/>
      <c r="AJ133" s="44"/>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7" s="31" customFormat="1" ht="15.5" x14ac:dyDescent="0.3">
      <c r="B134" s="164" t="s">
        <v>336</v>
      </c>
      <c r="C134" s="34"/>
      <c r="D134" s="84"/>
      <c r="G134" s="34"/>
      <c r="H134" s="84"/>
      <c r="J134" s="33"/>
      <c r="K134" s="38"/>
      <c r="L134" s="38"/>
      <c r="M134" s="38"/>
      <c r="N134" s="38"/>
      <c r="O134" s="268"/>
      <c r="Q134" s="35"/>
      <c r="R134" s="221"/>
      <c r="S134" s="44"/>
      <c r="T134" s="225"/>
      <c r="U134" s="44"/>
      <c r="V134" s="44"/>
      <c r="W134" s="44"/>
      <c r="X134" s="44"/>
      <c r="Y134" s="44"/>
      <c r="Z134" s="44"/>
      <c r="AA134" s="44"/>
      <c r="AB134" s="44"/>
      <c r="AC134" s="44"/>
      <c r="AD134" s="44"/>
      <c r="AE134" s="44"/>
      <c r="AF134" s="44"/>
      <c r="AG134" s="44"/>
      <c r="AH134" s="44"/>
      <c r="AI134" s="44"/>
      <c r="AJ134" s="44"/>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7" s="31" customFormat="1" ht="46.5" x14ac:dyDescent="0.3">
      <c r="B135" s="78" t="s">
        <v>726</v>
      </c>
      <c r="C135" s="395" t="s">
        <v>111</v>
      </c>
      <c r="D135" s="395"/>
      <c r="G135" s="34"/>
      <c r="H135" s="84"/>
      <c r="J135" s="33"/>
      <c r="K135" s="38" t="s">
        <v>329</v>
      </c>
      <c r="L135" s="38" t="s">
        <v>201</v>
      </c>
      <c r="M135" s="38" t="s">
        <v>319</v>
      </c>
      <c r="N135" s="38"/>
      <c r="O135" s="268"/>
      <c r="Q135" s="35"/>
      <c r="R135" s="44" t="s">
        <v>350</v>
      </c>
      <c r="S135" s="44"/>
      <c r="T135" s="225"/>
      <c r="U135" s="44"/>
      <c r="V135" s="44"/>
      <c r="W135" s="44"/>
      <c r="X135" s="44"/>
      <c r="Y135" s="44"/>
      <c r="Z135" s="44"/>
      <c r="AA135" s="44"/>
      <c r="AB135" s="44"/>
      <c r="AC135" s="44"/>
      <c r="AD135" s="44"/>
      <c r="AE135" s="44"/>
      <c r="AF135" s="44"/>
      <c r="AG135" s="44"/>
      <c r="AH135" s="44"/>
      <c r="AI135" s="44"/>
      <c r="AJ135" s="44"/>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7" s="31" customFormat="1" ht="15.5" x14ac:dyDescent="0.3">
      <c r="B136" s="54" t="s">
        <v>599</v>
      </c>
      <c r="C136" s="160"/>
      <c r="D136" s="84" t="str">
        <f>IF(C135=Pudotusvalikot!$H$14,"Yksikkö",IF(C135=Pudotusvalikot!$H$15,Pudotusvalikot!$I$15,IF(C135=Pudotusvalikot!$H$16,Pudotusvalikot!$I$16,IF(C135=Pudotusvalikot!$H$17,Pudotusvalikot!$I$17,IF(C135=Pudotusvalikot!$H$18,Pudotusvalikot!$I$18,IF(C135=Pudotusvalikot!$H$19,Pudotusvalikot!$I$19,IF(C135=Pudotusvalikot!$H$20,Pudotusvalikot!$I$20,IF(C135=Pudotusvalikot!$H$21,Pudotusvalikot!$I$21,IF(C135=Pudotusvalikot!$H$22,Pudotusvalikot!$I$22,IF(C135=Pudotusvalikot!$H$23,Pudotusvalikot!$I$23,IF(C135=Pudotusvalikot!$H$24,Pudotusvalikot!$I$24,IF(C135=Pudotusvalikot!$H$25,Pudotusvalikot!$I$25,IF(C135=Pudotusvalikot!$H$26,Pudotusvalikot!$I$26,IF(C135=Pudotusvalikot!$H$27,Pudotusvalikot!$I$27,IF(C135=Pudotusvalikot!$H$28,Pudotusvalikot!$I$28,IF(C135=Pudotusvalikot!$H$29,Pudotusvalikot!$I$29,"Yksikkö"))))))))))))))))</f>
        <v>Yksikkö</v>
      </c>
      <c r="G136" s="34"/>
      <c r="H136" s="84"/>
      <c r="J136" s="33" t="s">
        <v>364</v>
      </c>
      <c r="K136" s="96" t="str">
        <f>IF(ISNUMBER(L136),L136,IF(C135=Pudotusvalikot!$H$14,"--",IF(C135=Pudotusvalikot!$H$15,Materiaalit!$G$39,IF(C135=Pudotusvalikot!$H$16,Materiaalit!$G$40,IF(C135=Pudotusvalikot!$H$17,Materiaalit!$G$41,IF(C135=Pudotusvalikot!$H$18,Materiaalit!$G$42,IF(C135=Pudotusvalikot!$H$19,Materiaalit!$G$43,IF(C135=Pudotusvalikot!$H$20,Materiaalit!$G$44,IF(C135=Pudotusvalikot!$H$21,Materiaalit!$G$45,IF(C135=Pudotusvalikot!$H$22,Materiaalit!$G$46,IF(C135=Pudotusvalikot!$H$23,Materiaalit!$G$47,IF(C135=Pudotusvalikot!$H$24,Materiaalit!$G$48,IF(C135=Pudotusvalikot!$H$25,Materiaalit!$G$49,IF(C135=Pudotusvalikot!$H$26,Materiaalit!$G$50,IF(C135=Pudotusvalikot!$H$27,Materiaalit!$G$51,IF(C135=Pudotusvalikot!$H$28,Materiaalit!$G$52,"Anna kerroin"))))))))))))))))</f>
        <v>--</v>
      </c>
      <c r="L136" s="40"/>
      <c r="M136" s="96" t="str">
        <f>IF(D136="Yksikkö","--","kgCO2e/" &amp;D136)</f>
        <v>--</v>
      </c>
      <c r="N136" s="42"/>
      <c r="O136" s="267"/>
      <c r="Q136" s="35"/>
      <c r="R136" s="218" t="str">
        <f>IF(NOT(AND(ISNUMBER(K136),ISNUMBER(C136))),"",C136*K136*IF(C135=Pudotusvalikot!$H$14,1,IF(C135=Pudotusvalikot!$H$15,Materiaalit!$K$39,IF(C135=Pudotusvalikot!$H$16,Materiaalit!$K$40,IF(C135=Pudotusvalikot!$H$17,Materiaalit!$K$41,IF(C135=Pudotusvalikot!$H$18,Materiaalit!$K$42,IF(C135=Pudotusvalikot!$H$19,Materiaalit!$K$43,IF(C135=Pudotusvalikot!$H$20,Materiaalit!$K$44,IF(C135=Pudotusvalikot!$H$21,Materiaalit!$K$45,IF(C135=Pudotusvalikot!$H$22,Materiaalit!$K$46,IF(C135=Pudotusvalikot!$H$23,Materiaalit!$K$47,IF(C135=Pudotusvalikot!$H$24,Materiaalit!$K$48,IF(C135=Pudotusvalikot!$H$25,Materiaalit!$K$49,IF(C135=Pudotusvalikot!$H$26,Materiaalit!$K$50,IF(C135=Pudotusvalikot!$H$27,Materiaalit!$K$51,Materiaalit!$K$52)))))))))))))))</f>
        <v/>
      </c>
      <c r="S136" s="232" t="s">
        <v>172</v>
      </c>
      <c r="T136" s="225"/>
      <c r="U136" s="44"/>
      <c r="V136" s="44"/>
      <c r="W136" s="44"/>
      <c r="X136" s="44"/>
      <c r="Y136" s="44"/>
      <c r="Z136" s="44"/>
      <c r="AA136" s="44"/>
      <c r="AB136" s="44"/>
      <c r="AC136" s="44"/>
      <c r="AD136" s="44"/>
      <c r="AE136" s="44"/>
      <c r="AF136" s="44"/>
      <c r="AG136" s="44"/>
      <c r="AH136" s="44"/>
      <c r="AI136" s="44"/>
      <c r="AJ136" s="44"/>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7" s="31" customFormat="1" ht="15.5" x14ac:dyDescent="0.3">
      <c r="B137" s="164" t="s">
        <v>337</v>
      </c>
      <c r="C137" s="34"/>
      <c r="D137" s="84"/>
      <c r="G137" s="34"/>
      <c r="H137" s="84"/>
      <c r="J137" s="33"/>
      <c r="K137" s="38"/>
      <c r="L137" s="38"/>
      <c r="M137" s="38"/>
      <c r="N137" s="38"/>
      <c r="O137" s="268"/>
      <c r="Q137" s="35"/>
      <c r="R137" s="221"/>
      <c r="S137" s="44"/>
      <c r="T137" s="225"/>
      <c r="U137" s="44"/>
      <c r="V137" s="44"/>
      <c r="W137" s="44"/>
      <c r="X137" s="44"/>
      <c r="Y137" s="44"/>
      <c r="Z137" s="44"/>
      <c r="AA137" s="44"/>
      <c r="AB137" s="44"/>
      <c r="AC137" s="44"/>
      <c r="AD137" s="44"/>
      <c r="AE137" s="44"/>
      <c r="AF137" s="44"/>
      <c r="AG137" s="44"/>
      <c r="AH137" s="44"/>
      <c r="AI137" s="44"/>
      <c r="AJ137" s="44"/>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7" s="31" customFormat="1" ht="46.5" x14ac:dyDescent="0.3">
      <c r="B138" s="78" t="s">
        <v>726</v>
      </c>
      <c r="C138" s="395" t="s">
        <v>111</v>
      </c>
      <c r="D138" s="395"/>
      <c r="G138" s="34"/>
      <c r="H138" s="84"/>
      <c r="J138" s="33"/>
      <c r="K138" s="38" t="s">
        <v>329</v>
      </c>
      <c r="L138" s="38" t="s">
        <v>201</v>
      </c>
      <c r="M138" s="38" t="s">
        <v>319</v>
      </c>
      <c r="N138" s="38"/>
      <c r="O138" s="268"/>
      <c r="Q138" s="35"/>
      <c r="R138" s="44" t="s">
        <v>350</v>
      </c>
      <c r="S138" s="44"/>
      <c r="T138" s="225"/>
      <c r="U138" s="44"/>
      <c r="V138" s="44"/>
      <c r="W138" s="44"/>
      <c r="X138" s="44"/>
      <c r="Y138" s="44"/>
      <c r="Z138" s="44"/>
      <c r="AA138" s="44"/>
      <c r="AB138" s="44"/>
      <c r="AC138" s="44"/>
      <c r="AD138" s="44"/>
      <c r="AE138" s="44"/>
      <c r="AF138" s="44"/>
      <c r="AG138" s="44"/>
      <c r="AH138" s="44"/>
      <c r="AI138" s="44"/>
      <c r="AJ138" s="44"/>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7" s="31" customFormat="1" ht="15.5" x14ac:dyDescent="0.3">
      <c r="B139" s="54" t="s">
        <v>599</v>
      </c>
      <c r="C139" s="160"/>
      <c r="D139" s="84" t="str">
        <f>IF(C138=Pudotusvalikot!$H$14,"Yksikkö",IF(C138=Pudotusvalikot!$H$15,Pudotusvalikot!$I$15,IF(C138=Pudotusvalikot!$H$16,Pudotusvalikot!$I$16,IF(C138=Pudotusvalikot!$H$17,Pudotusvalikot!$I$17,IF(C138=Pudotusvalikot!$H$18,Pudotusvalikot!$I$18,IF(C138=Pudotusvalikot!$H$19,Pudotusvalikot!$I$19,IF(C138=Pudotusvalikot!$H$20,Pudotusvalikot!$I$20,IF(C138=Pudotusvalikot!$H$21,Pudotusvalikot!$I$21,IF(C138=Pudotusvalikot!$H$22,Pudotusvalikot!$I$22,IF(C138=Pudotusvalikot!$H$23,Pudotusvalikot!$I$23,IF(C138=Pudotusvalikot!$H$24,Pudotusvalikot!$I$24,IF(C138=Pudotusvalikot!$H$25,Pudotusvalikot!$I$25,IF(C138=Pudotusvalikot!$H$26,Pudotusvalikot!$I$26,IF(C138=Pudotusvalikot!$H$27,Pudotusvalikot!$I$27,IF(C138=Pudotusvalikot!$H$28,Pudotusvalikot!$I$28,IF(C138=Pudotusvalikot!$H$29,Pudotusvalikot!$I$29,"Yksikkö"))))))))))))))))</f>
        <v>Yksikkö</v>
      </c>
      <c r="G139" s="34"/>
      <c r="H139" s="84"/>
      <c r="J139" s="33" t="s">
        <v>364</v>
      </c>
      <c r="K139" s="96" t="str">
        <f>IF(ISNUMBER(L139),L139,IF(C138=Pudotusvalikot!$H$14,"--",IF(C138=Pudotusvalikot!$H$15,Materiaalit!$G$39,IF(C138=Pudotusvalikot!$H$16,Materiaalit!$G$40,IF(C138=Pudotusvalikot!$H$17,Materiaalit!$G$41,IF(C138=Pudotusvalikot!$H$18,Materiaalit!$G$42,IF(C138=Pudotusvalikot!$H$19,Materiaalit!$G$43,IF(C138=Pudotusvalikot!$H$20,Materiaalit!$G$44,IF(C138=Pudotusvalikot!$H$21,Materiaalit!$G$45,IF(C138=Pudotusvalikot!$H$22,Materiaalit!$G$46,IF(C138=Pudotusvalikot!$H$23,Materiaalit!$G$47,IF(C138=Pudotusvalikot!$H$24,Materiaalit!$G$48,IF(C138=Pudotusvalikot!$H$25,Materiaalit!$G$49,IF(C138=Pudotusvalikot!$H$26,Materiaalit!$G$50,IF(C138=Pudotusvalikot!$H$27,Materiaalit!$G$51,IF(C138=Pudotusvalikot!$H$28,Materiaalit!$G$52,"Anna kerroin"))))))))))))))))</f>
        <v>--</v>
      </c>
      <c r="L139" s="40"/>
      <c r="M139" s="96" t="str">
        <f>IF(D139="Yksikkö","--","kgCO2e/" &amp;D139)</f>
        <v>--</v>
      </c>
      <c r="N139" s="42"/>
      <c r="O139" s="267"/>
      <c r="Q139" s="35"/>
      <c r="R139" s="218" t="str">
        <f>IF(NOT(AND(ISNUMBER(K139),ISNUMBER(C139))),"",C139*K139*IF(C138=Pudotusvalikot!$H$14,1,IF(C138=Pudotusvalikot!$H$15,Materiaalit!$K$39,IF(C138=Pudotusvalikot!$H$16,Materiaalit!$K$40,IF(C138=Pudotusvalikot!$H$17,Materiaalit!$K$41,IF(C138=Pudotusvalikot!$H$18,Materiaalit!$K$42,IF(C138=Pudotusvalikot!$H$19,Materiaalit!$K$43,IF(C138=Pudotusvalikot!$H$20,Materiaalit!$K$44,IF(C138=Pudotusvalikot!$H$21,Materiaalit!$K$45,IF(C138=Pudotusvalikot!$H$22,Materiaalit!$K$46,IF(C138=Pudotusvalikot!$H$23,Materiaalit!$K$47,IF(C138=Pudotusvalikot!$H$24,Materiaalit!$K$48,IF(C138=Pudotusvalikot!$H$25,Materiaalit!$K$49,IF(C138=Pudotusvalikot!$H$26,Materiaalit!$K$50,IF(C138=Pudotusvalikot!$H$27,Materiaalit!$K$51,Materiaalit!$K$52)))))))))))))))</f>
        <v/>
      </c>
      <c r="S139" s="232" t="s">
        <v>172</v>
      </c>
      <c r="T139" s="225"/>
      <c r="U139" s="44"/>
      <c r="V139" s="44"/>
      <c r="W139" s="44"/>
      <c r="X139" s="44"/>
      <c r="Y139" s="44"/>
      <c r="Z139" s="44"/>
      <c r="AA139" s="44"/>
      <c r="AB139" s="44"/>
      <c r="AC139" s="44"/>
      <c r="AD139" s="44"/>
      <c r="AE139" s="44"/>
      <c r="AF139" s="44"/>
      <c r="AG139" s="44"/>
      <c r="AH139" s="44"/>
      <c r="AI139" s="44"/>
      <c r="AJ139" s="44"/>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7" s="31" customFormat="1" ht="15.5" x14ac:dyDescent="0.3">
      <c r="B140" s="164" t="s">
        <v>338</v>
      </c>
      <c r="C140" s="34"/>
      <c r="D140" s="84"/>
      <c r="G140" s="34"/>
      <c r="H140" s="84"/>
      <c r="J140" s="33"/>
      <c r="K140" s="38"/>
      <c r="L140" s="38"/>
      <c r="M140" s="38"/>
      <c r="N140" s="38"/>
      <c r="O140" s="268"/>
      <c r="Q140" s="35"/>
      <c r="R140" s="221"/>
      <c r="S140" s="44"/>
      <c r="T140" s="225"/>
      <c r="U140" s="44"/>
      <c r="V140" s="44"/>
      <c r="W140" s="44"/>
      <c r="X140" s="44"/>
      <c r="Y140" s="44"/>
      <c r="Z140" s="44"/>
      <c r="AA140" s="44"/>
      <c r="AB140" s="44"/>
      <c r="AC140" s="44"/>
      <c r="AD140" s="44"/>
      <c r="AE140" s="44"/>
      <c r="AF140" s="44"/>
      <c r="AG140" s="44"/>
      <c r="AH140" s="44"/>
      <c r="AI140" s="44"/>
      <c r="AJ140" s="44"/>
      <c r="AK140" s="36"/>
      <c r="AL140" s="36"/>
      <c r="AM140" s="36"/>
      <c r="AN140" s="37"/>
      <c r="AO140" s="37"/>
      <c r="AP140" s="37"/>
      <c r="AQ140" s="37"/>
      <c r="AR140" s="37"/>
      <c r="AS140" s="37"/>
      <c r="AT140" s="37"/>
      <c r="AU140" s="37"/>
      <c r="AV140" s="37"/>
      <c r="AW140" s="37"/>
      <c r="AX140" s="37"/>
      <c r="AY140" s="37"/>
      <c r="AZ140" s="37"/>
      <c r="BA140" s="37"/>
      <c r="BB140" s="37"/>
      <c r="BC140" s="37"/>
      <c r="BD140" s="37"/>
      <c r="BE140" s="37"/>
    </row>
    <row r="141" spans="2:57" s="31" customFormat="1" ht="46.5" x14ac:dyDescent="0.3">
      <c r="B141" s="78" t="s">
        <v>726</v>
      </c>
      <c r="C141" s="395" t="s">
        <v>111</v>
      </c>
      <c r="D141" s="395"/>
      <c r="G141" s="34"/>
      <c r="H141" s="84"/>
      <c r="J141" s="33"/>
      <c r="K141" s="38" t="s">
        <v>329</v>
      </c>
      <c r="L141" s="38" t="s">
        <v>201</v>
      </c>
      <c r="M141" s="38" t="s">
        <v>319</v>
      </c>
      <c r="N141" s="38"/>
      <c r="O141" s="268"/>
      <c r="Q141" s="35"/>
      <c r="R141" s="44" t="s">
        <v>350</v>
      </c>
      <c r="S141" s="44"/>
      <c r="T141" s="225"/>
      <c r="U141" s="44"/>
      <c r="V141" s="44"/>
      <c r="W141" s="44"/>
      <c r="X141" s="44"/>
      <c r="Y141" s="44"/>
      <c r="Z141" s="44"/>
      <c r="AA141" s="44"/>
      <c r="AB141" s="44"/>
      <c r="AC141" s="44"/>
      <c r="AD141" s="44"/>
      <c r="AE141" s="44"/>
      <c r="AF141" s="44"/>
      <c r="AG141" s="44"/>
      <c r="AH141" s="44"/>
      <c r="AI141" s="44"/>
      <c r="AJ141" s="44"/>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7" s="31" customFormat="1" ht="15.5" x14ac:dyDescent="0.3">
      <c r="B142" s="54" t="s">
        <v>599</v>
      </c>
      <c r="C142" s="160"/>
      <c r="D142" s="84" t="str">
        <f>IF(C141=Pudotusvalikot!$H$14,"Yksikkö",IF(C141=Pudotusvalikot!$H$15,Pudotusvalikot!$I$15,IF(C141=Pudotusvalikot!$H$16,Pudotusvalikot!$I$16,IF(C141=Pudotusvalikot!$H$17,Pudotusvalikot!$I$17,IF(C141=Pudotusvalikot!$H$18,Pudotusvalikot!$I$18,IF(C141=Pudotusvalikot!$H$19,Pudotusvalikot!$I$19,IF(C141=Pudotusvalikot!$H$20,Pudotusvalikot!$I$20,IF(C141=Pudotusvalikot!$H$21,Pudotusvalikot!$I$21,IF(C141=Pudotusvalikot!$H$22,Pudotusvalikot!$I$22,IF(C141=Pudotusvalikot!$H$23,Pudotusvalikot!$I$23,IF(C141=Pudotusvalikot!$H$24,Pudotusvalikot!$I$24,IF(C141=Pudotusvalikot!$H$25,Pudotusvalikot!$I$25,IF(C141=Pudotusvalikot!$H$26,Pudotusvalikot!$I$26,IF(C141=Pudotusvalikot!$H$27,Pudotusvalikot!$I$27,IF(C141=Pudotusvalikot!$H$28,Pudotusvalikot!$I$28,IF(C141=Pudotusvalikot!$H$29,Pudotusvalikot!$I$29,"Yksikkö"))))))))))))))))</f>
        <v>Yksikkö</v>
      </c>
      <c r="E142" s="34"/>
      <c r="F142" s="34"/>
      <c r="G142" s="34"/>
      <c r="H142" s="84"/>
      <c r="J142" s="33" t="s">
        <v>364</v>
      </c>
      <c r="K142" s="96" t="str">
        <f>IF(ISNUMBER(L142),L142,IF(C141=Pudotusvalikot!$H$14,"--",IF(C141=Pudotusvalikot!$H$15,Materiaalit!$G$39,IF(C141=Pudotusvalikot!$H$16,Materiaalit!$G$40,IF(C141=Pudotusvalikot!$H$17,Materiaalit!$G$41,IF(C141=Pudotusvalikot!$H$18,Materiaalit!$G$42,IF(C141=Pudotusvalikot!$H$19,Materiaalit!$G$43,IF(C141=Pudotusvalikot!$H$20,Materiaalit!$G$44,IF(C141=Pudotusvalikot!$H$21,Materiaalit!$G$45,IF(C141=Pudotusvalikot!$H$22,Materiaalit!$G$46,IF(C141=Pudotusvalikot!$H$23,Materiaalit!$G$47,IF(C141=Pudotusvalikot!$H$24,Materiaalit!$G$48,IF(C141=Pudotusvalikot!$H$25,Materiaalit!$G$49,IF(C141=Pudotusvalikot!$H$26,Materiaalit!$G$50,IF(C141=Pudotusvalikot!$H$27,Materiaalit!$G$51,IF(C141=Pudotusvalikot!$H$28,Materiaalit!$G$52,"Anna kerroin"))))))))))))))))</f>
        <v>--</v>
      </c>
      <c r="L142" s="40"/>
      <c r="M142" s="96" t="str">
        <f>IF(D142="Yksikkö","--","kgCO2e/" &amp;D142)</f>
        <v>--</v>
      </c>
      <c r="N142" s="42"/>
      <c r="O142" s="267"/>
      <c r="Q142" s="35"/>
      <c r="R142" s="218" t="str">
        <f>IF(NOT(AND(ISNUMBER(K142),ISNUMBER(C142))),"",C142*K142*IF(C141=Pudotusvalikot!$H$14,1,IF(C141=Pudotusvalikot!$H$15,Materiaalit!$K$39,IF(C141=Pudotusvalikot!$H$16,Materiaalit!$K$40,IF(C141=Pudotusvalikot!$H$17,Materiaalit!$K$41,IF(C141=Pudotusvalikot!$H$18,Materiaalit!$K$42,IF(C141=Pudotusvalikot!$H$19,Materiaalit!$K$43,IF(C141=Pudotusvalikot!$H$20,Materiaalit!$K$44,IF(C141=Pudotusvalikot!$H$21,Materiaalit!$K$45,IF(C141=Pudotusvalikot!$H$22,Materiaalit!$K$46,IF(C141=Pudotusvalikot!$H$23,Materiaalit!$K$47,IF(C141=Pudotusvalikot!$H$24,Materiaalit!$K$48,IF(C141=Pudotusvalikot!$H$25,Materiaalit!$K$49,IF(C141=Pudotusvalikot!$H$26,Materiaalit!$K$50,IF(C141=Pudotusvalikot!$H$27,Materiaalit!$K$51,Materiaalit!$K$52)))))))))))))))</f>
        <v/>
      </c>
      <c r="S142" s="232" t="s">
        <v>172</v>
      </c>
      <c r="T142" s="225"/>
      <c r="U142" s="44"/>
      <c r="V142" s="44"/>
      <c r="W142" s="44"/>
      <c r="X142" s="44"/>
      <c r="Y142" s="44"/>
      <c r="Z142" s="44"/>
      <c r="AA142" s="44"/>
      <c r="AB142" s="44"/>
      <c r="AC142" s="44"/>
      <c r="AD142" s="44"/>
      <c r="AE142" s="44"/>
      <c r="AF142" s="44"/>
      <c r="AG142" s="44"/>
      <c r="AH142" s="44"/>
      <c r="AI142" s="44"/>
      <c r="AJ142" s="44"/>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7" s="31" customFormat="1" ht="15.5" x14ac:dyDescent="0.3">
      <c r="B143" s="164" t="s">
        <v>339</v>
      </c>
      <c r="C143" s="34"/>
      <c r="D143" s="84"/>
      <c r="G143" s="34"/>
      <c r="H143" s="84"/>
      <c r="J143" s="33"/>
      <c r="K143" s="38"/>
      <c r="L143" s="38"/>
      <c r="M143" s="38"/>
      <c r="N143" s="38"/>
      <c r="O143" s="268"/>
      <c r="Q143" s="35"/>
      <c r="R143" s="221"/>
      <c r="S143" s="44"/>
      <c r="T143" s="225"/>
      <c r="U143" s="44"/>
      <c r="V143" s="44"/>
      <c r="W143" s="44"/>
      <c r="X143" s="44"/>
      <c r="Y143" s="44"/>
      <c r="Z143" s="44"/>
      <c r="AA143" s="44"/>
      <c r="AB143" s="44"/>
      <c r="AC143" s="44"/>
      <c r="AD143" s="44"/>
      <c r="AE143" s="44"/>
      <c r="AF143" s="44"/>
      <c r="AG143" s="44"/>
      <c r="AH143" s="44"/>
      <c r="AI143" s="44"/>
      <c r="AJ143" s="44"/>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7" s="31" customFormat="1" ht="46.5" x14ac:dyDescent="0.3">
      <c r="B144" s="78" t="s">
        <v>726</v>
      </c>
      <c r="C144" s="395" t="s">
        <v>111</v>
      </c>
      <c r="D144" s="395"/>
      <c r="G144" s="34"/>
      <c r="H144" s="84"/>
      <c r="J144" s="33"/>
      <c r="K144" s="38" t="s">
        <v>329</v>
      </c>
      <c r="L144" s="38" t="s">
        <v>201</v>
      </c>
      <c r="M144" s="38" t="s">
        <v>319</v>
      </c>
      <c r="N144" s="38"/>
      <c r="O144" s="268"/>
      <c r="Q144" s="35"/>
      <c r="R144" s="44" t="s">
        <v>350</v>
      </c>
      <c r="S144" s="44"/>
      <c r="T144" s="225"/>
      <c r="U144" s="44"/>
      <c r="V144" s="44"/>
      <c r="W144" s="44"/>
      <c r="X144" s="44"/>
      <c r="Y144" s="44"/>
      <c r="Z144" s="44"/>
      <c r="AA144" s="44"/>
      <c r="AB144" s="44"/>
      <c r="AC144" s="44"/>
      <c r="AD144" s="44"/>
      <c r="AE144" s="44"/>
      <c r="AF144" s="44"/>
      <c r="AG144" s="44"/>
      <c r="AH144" s="44"/>
      <c r="AI144" s="44"/>
      <c r="AJ144" s="44"/>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15.5" x14ac:dyDescent="0.3">
      <c r="B145" s="54" t="s">
        <v>599</v>
      </c>
      <c r="C145" s="160"/>
      <c r="D145" s="84" t="str">
        <f>IF(C144=Pudotusvalikot!$H$14,"Yksikkö",IF(C144=Pudotusvalikot!$H$15,Pudotusvalikot!$I$15,IF(C144=Pudotusvalikot!$H$16,Pudotusvalikot!$I$16,IF(C144=Pudotusvalikot!$H$17,Pudotusvalikot!$I$17,IF(C144=Pudotusvalikot!$H$18,Pudotusvalikot!$I$18,IF(C144=Pudotusvalikot!$H$19,Pudotusvalikot!$I$19,IF(C144=Pudotusvalikot!$H$20,Pudotusvalikot!$I$20,IF(C144=Pudotusvalikot!$H$21,Pudotusvalikot!$I$21,IF(C144=Pudotusvalikot!$H$22,Pudotusvalikot!$I$22,IF(C144=Pudotusvalikot!$H$23,Pudotusvalikot!$I$23,IF(C144=Pudotusvalikot!$H$24,Pudotusvalikot!$I$24,IF(C144=Pudotusvalikot!$H$25,Pudotusvalikot!$I$25,IF(C144=Pudotusvalikot!$H$26,Pudotusvalikot!$I$26,IF(C144=Pudotusvalikot!$H$27,Pudotusvalikot!$I$27,IF(C144=Pudotusvalikot!$H$28,Pudotusvalikot!$I$28,IF(C144=Pudotusvalikot!$H$29,Pudotusvalikot!$I$29,"Yksikkö"))))))))))))))))</f>
        <v>Yksikkö</v>
      </c>
      <c r="E145" s="34"/>
      <c r="G145" s="34"/>
      <c r="H145" s="84"/>
      <c r="J145" s="33" t="s">
        <v>364</v>
      </c>
      <c r="K145" s="96" t="str">
        <f>IF(ISNUMBER(L145),L145,IF(C144=Pudotusvalikot!$H$14,"--",IF(C144=Pudotusvalikot!$H$15,Materiaalit!$G$39,IF(C144=Pudotusvalikot!$H$16,Materiaalit!$G$40,IF(C144=Pudotusvalikot!$H$17,Materiaalit!$G$41,IF(C144=Pudotusvalikot!$H$18,Materiaalit!$G$42,IF(C144=Pudotusvalikot!$H$19,Materiaalit!$G$43,IF(C144=Pudotusvalikot!$H$20,Materiaalit!$G$44,IF(C144=Pudotusvalikot!$H$21,Materiaalit!$G$45,IF(C144=Pudotusvalikot!$H$22,Materiaalit!$G$46,IF(C144=Pudotusvalikot!$H$23,Materiaalit!$G$47,IF(C144=Pudotusvalikot!$H$24,Materiaalit!$G$48,IF(C144=Pudotusvalikot!$H$25,Materiaalit!$G$49,IF(C144=Pudotusvalikot!$H$26,Materiaalit!$G$50,IF(C144=Pudotusvalikot!$H$27,Materiaalit!$G$51,IF(C144=Pudotusvalikot!$H$28,Materiaalit!$G$52,"Anna kerroin"))))))))))))))))</f>
        <v>--</v>
      </c>
      <c r="L145" s="40"/>
      <c r="M145" s="96" t="str">
        <f>IF(D145="Yksikkö","--","kgCO2e/" &amp;D145)</f>
        <v>--</v>
      </c>
      <c r="N145" s="42"/>
      <c r="O145" s="267"/>
      <c r="Q145" s="35"/>
      <c r="R145" s="218" t="str">
        <f>IF(NOT(AND(ISNUMBER(K145),ISNUMBER(C145))),"",C145*K145*IF(C144=Pudotusvalikot!$H$14,1,IF(C144=Pudotusvalikot!$H$15,Materiaalit!$K$39,IF(C144=Pudotusvalikot!$H$16,Materiaalit!$K$40,IF(C144=Pudotusvalikot!$H$17,Materiaalit!$K$41,IF(C144=Pudotusvalikot!$H$18,Materiaalit!$K$42,IF(C144=Pudotusvalikot!$H$19,Materiaalit!$K$43,IF(C144=Pudotusvalikot!$H$20,Materiaalit!$K$44,IF(C144=Pudotusvalikot!$H$21,Materiaalit!$K$45,IF(C144=Pudotusvalikot!$H$22,Materiaalit!$K$46,IF(C144=Pudotusvalikot!$H$23,Materiaalit!$K$47,IF(C144=Pudotusvalikot!$H$24,Materiaalit!$K$48,IF(C144=Pudotusvalikot!$H$25,Materiaalit!$K$49,IF(C144=Pudotusvalikot!$H$26,Materiaalit!$K$50,IF(C144=Pudotusvalikot!$H$27,Materiaalit!$K$51,Materiaalit!$K$52)))))))))))))))</f>
        <v/>
      </c>
      <c r="S145" s="232" t="s">
        <v>172</v>
      </c>
      <c r="T145" s="225"/>
      <c r="U145" s="44"/>
      <c r="V145" s="44"/>
      <c r="W145" s="44"/>
      <c r="X145" s="44"/>
      <c r="Y145" s="44"/>
      <c r="Z145" s="44"/>
      <c r="AA145" s="44"/>
      <c r="AB145" s="44"/>
      <c r="AC145" s="44"/>
      <c r="AD145" s="44"/>
      <c r="AE145" s="44"/>
      <c r="AF145" s="44"/>
      <c r="AG145" s="44"/>
      <c r="AH145" s="44"/>
      <c r="AI145" s="44"/>
      <c r="AJ145" s="44"/>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5" x14ac:dyDescent="0.3">
      <c r="C146" s="34"/>
      <c r="D146" s="84"/>
      <c r="G146" s="34"/>
      <c r="H146" s="84"/>
      <c r="J146" s="33"/>
      <c r="K146" s="34"/>
      <c r="L146" s="34"/>
      <c r="M146" s="84"/>
      <c r="N146" s="84"/>
      <c r="O146" s="84"/>
      <c r="Q146" s="35"/>
      <c r="R146" s="106"/>
      <c r="S146" s="44"/>
      <c r="T146" s="44"/>
      <c r="U146" s="44"/>
      <c r="V146" s="44"/>
      <c r="W146" s="44"/>
      <c r="X146" s="44"/>
      <c r="Y146" s="44"/>
      <c r="Z146" s="44"/>
      <c r="AA146" s="44"/>
      <c r="AB146" s="44"/>
      <c r="AC146" s="44"/>
      <c r="AD146" s="44"/>
      <c r="AE146" s="44"/>
      <c r="AF146" s="44"/>
      <c r="AG146" s="44"/>
      <c r="AH146" s="44"/>
      <c r="AI146" s="44"/>
      <c r="AJ146" s="44"/>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298" customFormat="1" ht="18" x14ac:dyDescent="0.3">
      <c r="B147" s="295" t="s">
        <v>318</v>
      </c>
      <c r="C147" s="296"/>
      <c r="D147" s="297"/>
      <c r="G147" s="296"/>
      <c r="H147" s="297"/>
      <c r="K147" s="296"/>
      <c r="L147" s="296"/>
      <c r="M147" s="297"/>
      <c r="N147" s="297"/>
      <c r="O147" s="300"/>
      <c r="P147" s="320"/>
      <c r="Q147" s="304"/>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304"/>
      <c r="AO147" s="304"/>
      <c r="AP147" s="304"/>
      <c r="AQ147" s="304"/>
      <c r="AR147" s="304"/>
      <c r="AS147" s="304"/>
      <c r="AT147" s="304"/>
      <c r="AU147" s="304"/>
      <c r="AV147" s="304"/>
      <c r="AW147" s="304"/>
      <c r="AX147" s="304"/>
      <c r="AY147" s="304"/>
      <c r="AZ147" s="304"/>
      <c r="BA147" s="304"/>
      <c r="BB147" s="304"/>
      <c r="BC147" s="304"/>
      <c r="BD147" s="304"/>
      <c r="BE147" s="304"/>
    </row>
    <row r="148" spans="2:57" s="31" customFormat="1" ht="15.5" x14ac:dyDescent="0.3">
      <c r="B148" s="9"/>
      <c r="C148" s="34"/>
      <c r="D148" s="84"/>
      <c r="G148" s="34"/>
      <c r="H148" s="84"/>
      <c r="J148" s="33"/>
      <c r="K148" s="34"/>
      <c r="L148" s="34"/>
      <c r="M148" s="84"/>
      <c r="N148" s="84"/>
      <c r="O148" s="84"/>
      <c r="Q148" s="35"/>
      <c r="R148" s="106"/>
      <c r="S148" s="44"/>
      <c r="T148" s="44"/>
      <c r="U148" s="44"/>
      <c r="V148" s="44"/>
      <c r="W148" s="44"/>
      <c r="X148" s="44"/>
      <c r="Y148" s="44"/>
      <c r="Z148" s="44"/>
      <c r="AA148" s="44"/>
      <c r="AB148" s="44"/>
      <c r="AC148" s="44"/>
      <c r="AD148" s="44"/>
      <c r="AE148" s="44"/>
      <c r="AF148" s="44"/>
      <c r="AG148" s="44"/>
      <c r="AH148" s="44"/>
      <c r="AI148" s="44"/>
      <c r="AJ148" s="44"/>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7" s="31" customFormat="1" ht="45.75" customHeight="1" x14ac:dyDescent="0.3">
      <c r="B149" s="398" t="s">
        <v>568</v>
      </c>
      <c r="C149" s="398"/>
      <c r="D149" s="398"/>
      <c r="E149" s="398"/>
      <c r="F149" s="398"/>
      <c r="G149" s="398"/>
      <c r="H149" s="398"/>
      <c r="J149" s="33"/>
      <c r="K149" s="42"/>
      <c r="L149" s="42"/>
      <c r="M149" s="41"/>
      <c r="N149" s="41"/>
      <c r="O149" s="255" t="s">
        <v>644</v>
      </c>
      <c r="Q149" s="35"/>
      <c r="R149" s="221"/>
      <c r="S149" s="232"/>
      <c r="T149" s="44"/>
      <c r="U149" s="44"/>
      <c r="V149" s="44"/>
      <c r="W149" s="44"/>
      <c r="X149" s="44"/>
      <c r="Y149" s="44"/>
      <c r="Z149" s="44"/>
      <c r="AA149" s="44"/>
      <c r="AB149" s="225"/>
      <c r="AC149" s="44"/>
      <c r="AD149" s="44"/>
      <c r="AE149" s="44"/>
      <c r="AF149" s="44"/>
      <c r="AG149" s="44"/>
      <c r="AH149" s="44"/>
      <c r="AI149" s="44"/>
      <c r="AJ149" s="44"/>
      <c r="AK149" s="36"/>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60.75" customHeight="1" x14ac:dyDescent="0.3">
      <c r="B150" s="398" t="s">
        <v>729</v>
      </c>
      <c r="C150" s="398"/>
      <c r="D150" s="398"/>
      <c r="E150" s="398"/>
      <c r="F150" s="398"/>
      <c r="G150" s="398"/>
      <c r="H150" s="398"/>
      <c r="J150" s="33"/>
      <c r="K150" s="42"/>
      <c r="L150" s="42"/>
      <c r="M150" s="41"/>
      <c r="N150" s="41"/>
      <c r="O150" s="256"/>
      <c r="Q150" s="35"/>
      <c r="R150" s="221"/>
      <c r="S150" s="232"/>
      <c r="T150" s="44"/>
      <c r="U150" s="44"/>
      <c r="V150" s="44"/>
      <c r="W150" s="44"/>
      <c r="X150" s="44"/>
      <c r="Y150" s="44"/>
      <c r="Z150" s="44"/>
      <c r="AA150" s="44"/>
      <c r="AB150" s="225"/>
      <c r="AC150" s="44"/>
      <c r="AD150" s="44"/>
      <c r="AE150" s="44"/>
      <c r="AF150" s="44"/>
      <c r="AG150" s="44"/>
      <c r="AH150" s="44"/>
      <c r="AI150" s="44"/>
      <c r="AJ150" s="44"/>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15.5" x14ac:dyDescent="0.3">
      <c r="B151" s="9"/>
      <c r="C151" s="34"/>
      <c r="D151" s="84"/>
      <c r="G151" s="34"/>
      <c r="H151" s="84"/>
      <c r="J151" s="33"/>
      <c r="K151" s="34"/>
      <c r="L151" s="34"/>
      <c r="M151" s="84"/>
      <c r="N151" s="84"/>
      <c r="O151" s="100"/>
      <c r="Q151" s="35"/>
      <c r="R151" s="106"/>
      <c r="S151" s="44"/>
      <c r="T151" s="44"/>
      <c r="U151" s="44"/>
      <c r="V151" s="44"/>
      <c r="W151" s="44"/>
      <c r="X151" s="44"/>
      <c r="Y151" s="44"/>
      <c r="Z151" s="44"/>
      <c r="AA151" s="44"/>
      <c r="AB151" s="44"/>
      <c r="AC151" s="44"/>
      <c r="AD151" s="44"/>
      <c r="AE151" s="44"/>
      <c r="AF151" s="44"/>
      <c r="AG151" s="44"/>
      <c r="AH151" s="44"/>
      <c r="AI151" s="44"/>
      <c r="AJ151" s="44"/>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5" x14ac:dyDescent="0.3">
      <c r="B152" s="9" t="str">
        <f>B131</f>
        <v>Kemikaali-, tuote- tai materiaalilaji 1</v>
      </c>
      <c r="C152" s="34"/>
      <c r="D152" s="84"/>
      <c r="G152" s="34"/>
      <c r="H152" s="84"/>
      <c r="J152" s="33"/>
      <c r="K152" s="34"/>
      <c r="L152" s="34"/>
      <c r="M152" s="84"/>
      <c r="N152" s="84"/>
      <c r="O152" s="100"/>
      <c r="Q152" s="35"/>
      <c r="R152" s="44" t="s">
        <v>350</v>
      </c>
      <c r="S152" s="44"/>
      <c r="T152" s="44"/>
      <c r="U152" s="44"/>
      <c r="V152" s="44"/>
      <c r="W152" s="44"/>
      <c r="X152" s="44"/>
      <c r="Y152" s="44"/>
      <c r="Z152" s="44"/>
      <c r="AA152" s="44"/>
      <c r="AB152" s="225"/>
      <c r="AC152" s="44"/>
      <c r="AD152" s="44"/>
      <c r="AE152" s="44"/>
      <c r="AF152" s="44"/>
      <c r="AG152" s="44"/>
      <c r="AH152" s="44"/>
      <c r="AI152" s="44"/>
      <c r="AJ152" s="44"/>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5" x14ac:dyDescent="0.3">
      <c r="B153" s="54" t="s">
        <v>375</v>
      </c>
      <c r="C153" s="160"/>
      <c r="D153" s="84" t="s">
        <v>281</v>
      </c>
      <c r="G153" s="34" t="s">
        <v>340</v>
      </c>
      <c r="H153" s="84"/>
      <c r="J153" s="33"/>
      <c r="K153" s="38" t="s">
        <v>329</v>
      </c>
      <c r="L153" s="38" t="s">
        <v>201</v>
      </c>
      <c r="M153" s="84"/>
      <c r="N153" s="84"/>
      <c r="O153" s="100"/>
      <c r="Q153" s="35"/>
      <c r="R153" s="218" t="str">
        <f>IF(AND(ISNUMBER(G154),ISNUMBER(C153)),SUM(R154,R157:R159),"")</f>
        <v/>
      </c>
      <c r="S153" s="232" t="s">
        <v>172</v>
      </c>
      <c r="T153" s="44"/>
      <c r="U153" s="44"/>
      <c r="V153" s="44"/>
      <c r="W153" s="44"/>
      <c r="X153" s="44"/>
      <c r="Y153" s="44"/>
      <c r="Z153" s="44"/>
      <c r="AA153" s="44"/>
      <c r="AB153" s="225"/>
      <c r="AC153" s="44"/>
      <c r="AD153" s="44"/>
      <c r="AE153" s="44"/>
      <c r="AF153" s="44"/>
      <c r="AG153" s="44"/>
      <c r="AH153" s="44"/>
      <c r="AI153" s="44"/>
      <c r="AJ153" s="44"/>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46.5" x14ac:dyDescent="0.3">
      <c r="B154" s="155" t="s">
        <v>728</v>
      </c>
      <c r="C154" s="396" t="s">
        <v>283</v>
      </c>
      <c r="D154" s="397"/>
      <c r="G154" s="156"/>
      <c r="H154" s="84" t="s">
        <v>5</v>
      </c>
      <c r="J154" s="173" t="s">
        <v>441</v>
      </c>
      <c r="K154" s="96">
        <f>IF(ISNUMBER(L154),L154,IF(C154=Pudotusvalikot!$N$4,Kalusto!$G$105,IF(C154=Pudotusvalikot!$N$5,Kalusto!$G$106,IF(C154=Pudotusvalikot!$N$6,Kalusto!$G$107,IF(C154=Pudotusvalikot!$N$7,Kalusto!$G$108,Kalusto!$G$105))))*IF(OR(C156=Pudotusvalikot!$V$3,C156=Pudotusvalikot!$V$4),Muut!$E$38,IF(C156=Pudotusvalikot!$V$5,Muut!$E$39,IF(C156=Pudotusvalikot!$V$6,Muut!$E$40,Muut!$E$41))))</f>
        <v>4.9950000000000001E-2</v>
      </c>
      <c r="L154" s="40"/>
      <c r="M154" s="41" t="s">
        <v>200</v>
      </c>
      <c r="N154" s="41"/>
      <c r="O154" s="265"/>
      <c r="Q154" s="35"/>
      <c r="R154" s="218" t="str">
        <f>IF(ISNUMBER(Y155*X155*K154),Y155*X155*K154,"")</f>
        <v/>
      </c>
      <c r="S154" s="232" t="s">
        <v>172</v>
      </c>
      <c r="T154" s="44" t="s">
        <v>446</v>
      </c>
      <c r="U154" s="44" t="s">
        <v>384</v>
      </c>
      <c r="V154" s="44" t="s">
        <v>443</v>
      </c>
      <c r="W154" s="44" t="s">
        <v>444</v>
      </c>
      <c r="X154" s="44" t="s">
        <v>447</v>
      </c>
      <c r="Y154" s="44" t="s">
        <v>449</v>
      </c>
      <c r="Z154" s="44" t="s">
        <v>374</v>
      </c>
      <c r="AA154" s="44"/>
      <c r="AB154" s="225"/>
      <c r="AC154" s="44"/>
      <c r="AD154" s="44"/>
      <c r="AE154" s="44"/>
      <c r="AF154" s="44"/>
      <c r="AG154" s="44"/>
      <c r="AH154" s="44"/>
      <c r="AI154" s="44"/>
      <c r="AJ154" s="44"/>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31" x14ac:dyDescent="0.3">
      <c r="B155" s="78" t="s">
        <v>530</v>
      </c>
      <c r="C155" s="392" t="s">
        <v>93</v>
      </c>
      <c r="D155" s="393"/>
      <c r="E155" s="393"/>
      <c r="F155" s="393"/>
      <c r="G155" s="394"/>
      <c r="J155" s="33"/>
      <c r="K155" s="38" t="s">
        <v>329</v>
      </c>
      <c r="L155" s="38" t="s">
        <v>201</v>
      </c>
      <c r="M155" s="41"/>
      <c r="N155" s="41"/>
      <c r="O155" s="265"/>
      <c r="Q155" s="47"/>
      <c r="R155" s="225"/>
      <c r="S155" s="44"/>
      <c r="T155" s="216" t="str">
        <f>IF(ISNUMBER(L154),"Kohdetieto",IF(OR(C155=Pudotusvalikot!$D$14,C155=Pudotusvalikot!$D$15),Kalusto!$I$96,VLOOKUP(C155,Kalusto!$C$44:$L$83,7,FALSE)))</f>
        <v>Puoliperävaunu</v>
      </c>
      <c r="U155" s="216">
        <f>IF(ISNUMBER(L154),"Kohdetieto",IF(OR(C155=Pudotusvalikot!$D$14,C155=Pudotusvalikot!$D$15),Kalusto!$J$96,VLOOKUP(C155,Kalusto!$C$44:$L$83,8,FALSE)))</f>
        <v>40</v>
      </c>
      <c r="V155" s="217">
        <f>IF(ISNUMBER(L154),"Kohdetieto",IF(OR(C155=Pudotusvalikot!$D$14,C155=Pudotusvalikot!$D$15),Kalusto!$K$96,VLOOKUP(C155,Kalusto!$C$44:$L$83,9,FALSE)))</f>
        <v>0.8</v>
      </c>
      <c r="W155" s="217" t="str">
        <f>IF(ISNUMBER(L154),"Kohdetieto",IF(OR(C155=Pudotusvalikot!$D$14,C155=Pudotusvalikot!$D$15),Kalusto!$L$96,VLOOKUP(C155,Kalusto!$C$44:$L$83,10,FALSE)))</f>
        <v>maantieajo</v>
      </c>
      <c r="X155" s="218" t="str">
        <f>IF(ISBLANK(C153),"",C153/1000)</f>
        <v/>
      </c>
      <c r="Y155" s="216" t="str">
        <f>IF(ISNUMBER(G154),G154,"")</f>
        <v/>
      </c>
      <c r="Z155" s="219">
        <f>IF(ISNUMBER(L154),L154,K154)</f>
        <v>4.9950000000000001E-2</v>
      </c>
      <c r="AA155" s="44"/>
      <c r="AB155" s="225"/>
      <c r="AC155" s="44"/>
      <c r="AD155" s="44"/>
      <c r="AE155" s="44"/>
      <c r="AF155" s="44"/>
      <c r="AG155" s="44"/>
      <c r="AH155" s="44"/>
      <c r="AI155" s="44"/>
      <c r="AJ155" s="44"/>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15.5" x14ac:dyDescent="0.3">
      <c r="B156" s="78" t="s">
        <v>506</v>
      </c>
      <c r="C156" s="160" t="s">
        <v>242</v>
      </c>
      <c r="D156" s="34"/>
      <c r="E156" s="34"/>
      <c r="F156" s="34"/>
      <c r="G156" s="34"/>
      <c r="H156" s="59"/>
      <c r="J156" s="173"/>
      <c r="K156" s="173"/>
      <c r="L156" s="173"/>
      <c r="M156" s="41"/>
      <c r="N156" s="41"/>
      <c r="O156" s="265"/>
      <c r="Q156" s="47"/>
      <c r="R156" s="44"/>
      <c r="S156" s="44"/>
      <c r="T156" s="44"/>
      <c r="U156" s="44"/>
      <c r="V156" s="220"/>
      <c r="W156" s="220"/>
      <c r="X156" s="221"/>
      <c r="Y156" s="44"/>
      <c r="Z156" s="221"/>
      <c r="AA156" s="222"/>
      <c r="AB156" s="221"/>
      <c r="AC156" s="221"/>
      <c r="AD156" s="221"/>
      <c r="AE156" s="221"/>
      <c r="AF156" s="222"/>
      <c r="AG156" s="221"/>
      <c r="AH156" s="44"/>
      <c r="AI156" s="44"/>
      <c r="AJ156" s="44"/>
      <c r="AK156" s="108"/>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5" x14ac:dyDescent="0.3">
      <c r="B157" s="155" t="s">
        <v>542</v>
      </c>
      <c r="C157" s="395" t="s">
        <v>283</v>
      </c>
      <c r="D157" s="395"/>
      <c r="E157" s="169"/>
      <c r="G157" s="156"/>
      <c r="H157" s="84" t="s">
        <v>5</v>
      </c>
      <c r="J157" s="33" t="str">
        <f>IF(C157="Kuljetus","Ei oletusta","Oletus (" &amp; IF(C157="Tiekuljetus",Kalusto!$C$105,IF(C157="Raidekuljetus",Kalusto!$C$106,IF(C157="Laivarahti",Kalusto!$C$107,Kalusto!$C$108))) &amp; ")" )</f>
        <v>Oletus (Puoliperävaunuyhdistelmä, 40 t, 100 % kuorma, maantieajo)</v>
      </c>
      <c r="K157" s="96">
        <f>IF(ISNUMBER(L157),L157,IF(C157=Pudotusvalikot!$N$4,Kalusto!$G$105,IF(C157=Pudotusvalikot!$N$5,Kalusto!$G$106,IF(C157=Pudotusvalikot!$N$6,Kalusto!$G$107,IF(C157=Pudotusvalikot!$N$7,Kalusto!$G$108,Kalusto!$G$105)))))</f>
        <v>4.9950000000000001E-2</v>
      </c>
      <c r="L157" s="40"/>
      <c r="M157" s="41" t="s">
        <v>200</v>
      </c>
      <c r="N157" s="41"/>
      <c r="O157" s="265"/>
      <c r="Q157" s="35"/>
      <c r="R157" s="218" t="str">
        <f>IF(AND(ISNUMBER(G154)*ISNUMBER(C153)),K157*G157*C153,"")</f>
        <v/>
      </c>
      <c r="S157" s="232" t="s">
        <v>172</v>
      </c>
      <c r="T157" s="44"/>
      <c r="U157" s="44"/>
      <c r="V157" s="44"/>
      <c r="W157" s="44"/>
      <c r="X157" s="44"/>
      <c r="Y157" s="44"/>
      <c r="Z157" s="44"/>
      <c r="AA157" s="44"/>
      <c r="AB157" s="225"/>
      <c r="AC157" s="44"/>
      <c r="AD157" s="44"/>
      <c r="AE157" s="44"/>
      <c r="AF157" s="44"/>
      <c r="AG157" s="44"/>
      <c r="AH157" s="44"/>
      <c r="AI157" s="44"/>
      <c r="AJ157" s="44"/>
      <c r="AK157" s="36"/>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5" x14ac:dyDescent="0.3">
      <c r="B158" s="155" t="s">
        <v>542</v>
      </c>
      <c r="C158" s="395" t="s">
        <v>284</v>
      </c>
      <c r="D158" s="395"/>
      <c r="E158" s="169"/>
      <c r="G158" s="156"/>
      <c r="H158" s="84" t="s">
        <v>5</v>
      </c>
      <c r="J158" s="33" t="str">
        <f>IF(C158="Kuljetus","Ei oletusta","Oletus (" &amp; IF(C158="Tiekuljetus",Kalusto!$C$105,IF(C158="Raidekuljetus",Kalusto!$C$106,IF(C158="Laivarahti",Kalusto!$C$107,Kalusto!$C$108))) &amp; ")" )</f>
        <v>Oletus (Merikuljetus, konttilaiva, 1000 TEU)</v>
      </c>
      <c r="K158" s="96">
        <f>IF(ISNUMBER(L158),L158,IF(C158=Pudotusvalikot!$N$4,Kalusto!$G$105,IF(C158=Pudotusvalikot!$N$5,Kalusto!$G$106,IF(C158=Pudotusvalikot!$N$6,Kalusto!$G$107,IF(C158=Pudotusvalikot!$N$7,Kalusto!$G$108,"--")))))</f>
        <v>4.4999999999999998E-2</v>
      </c>
      <c r="L158" s="40"/>
      <c r="M158" s="41" t="s">
        <v>200</v>
      </c>
      <c r="N158" s="41"/>
      <c r="O158" s="265"/>
      <c r="Q158" s="35"/>
      <c r="R158" s="218" t="str">
        <f>IF(AND(ISNUMBER(G154)*ISNUMBER(C153)),K158*G158*C153,"")</f>
        <v/>
      </c>
      <c r="S158" s="232" t="s">
        <v>172</v>
      </c>
      <c r="T158" s="44"/>
      <c r="U158" s="44"/>
      <c r="V158" s="44"/>
      <c r="W158" s="44"/>
      <c r="X158" s="44"/>
      <c r="Y158" s="44"/>
      <c r="Z158" s="44"/>
      <c r="AA158" s="44"/>
      <c r="AB158" s="225"/>
      <c r="AC158" s="44"/>
      <c r="AD158" s="44"/>
      <c r="AE158" s="44"/>
      <c r="AF158" s="44"/>
      <c r="AG158" s="44"/>
      <c r="AH158" s="44"/>
      <c r="AI158" s="44"/>
      <c r="AJ158" s="44"/>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5" x14ac:dyDescent="0.3">
      <c r="B159" s="155" t="s">
        <v>542</v>
      </c>
      <c r="C159" s="395" t="s">
        <v>283</v>
      </c>
      <c r="D159" s="395"/>
      <c r="E159" s="169"/>
      <c r="G159" s="156"/>
      <c r="H159" s="84" t="s">
        <v>5</v>
      </c>
      <c r="J159" s="33" t="str">
        <f>IF(C159="Kuljetus","Ei oletusta","Oletus (" &amp; IF(C159="Tiekuljetus",Kalusto!$C$105,IF(C159="Raidekuljetus",Kalusto!$C$106,IF(C159="Laivarahti",Kalusto!$C$107,Kalusto!$C$108))) &amp; ")" )</f>
        <v>Oletus (Puoliperävaunuyhdistelmä, 40 t, 100 % kuorma, maantieajo)</v>
      </c>
      <c r="K159" s="96">
        <f>IF(ISNUMBER(L159),L159,IF(C159=Pudotusvalikot!$N$4,Kalusto!$G$105,IF(C159=Pudotusvalikot!$N$5,Kalusto!$G$106,IF(C159=Pudotusvalikot!$N$6,Kalusto!$G$107,IF(C159=Pudotusvalikot!$N$7,Kalusto!$G$108,"--")))))</f>
        <v>4.9950000000000001E-2</v>
      </c>
      <c r="L159" s="40"/>
      <c r="M159" s="41" t="s">
        <v>200</v>
      </c>
      <c r="N159" s="41"/>
      <c r="O159" s="265"/>
      <c r="Q159" s="35"/>
      <c r="R159" s="218" t="str">
        <f>IF(AND(ISNUMBER(G154)*ISNUMBER(C153)),K159*G159*C153,"")</f>
        <v/>
      </c>
      <c r="S159" s="232" t="s">
        <v>172</v>
      </c>
      <c r="T159" s="44"/>
      <c r="U159" s="44"/>
      <c r="V159" s="44"/>
      <c r="W159" s="44"/>
      <c r="X159" s="44"/>
      <c r="Y159" s="44"/>
      <c r="Z159" s="44"/>
      <c r="AA159" s="44"/>
      <c r="AB159" s="225"/>
      <c r="AC159" s="44"/>
      <c r="AD159" s="44"/>
      <c r="AE159" s="44"/>
      <c r="AF159" s="44"/>
      <c r="AG159" s="44"/>
      <c r="AH159" s="44"/>
      <c r="AI159" s="44"/>
      <c r="AJ159" s="44"/>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5" x14ac:dyDescent="0.3">
      <c r="B160" s="9" t="str">
        <f>B134</f>
        <v>Kemikaali-, tuote- tai materiaalilaji 2</v>
      </c>
      <c r="C160" s="34"/>
      <c r="D160" s="84"/>
      <c r="G160" s="72"/>
      <c r="H160" s="84"/>
      <c r="J160" s="33"/>
      <c r="K160" s="34"/>
      <c r="L160" s="34"/>
      <c r="M160" s="84"/>
      <c r="N160" s="84"/>
      <c r="O160" s="100"/>
      <c r="Q160" s="35"/>
      <c r="R160" s="44" t="s">
        <v>350</v>
      </c>
      <c r="S160" s="44"/>
      <c r="T160" s="44"/>
      <c r="U160" s="44"/>
      <c r="V160" s="44"/>
      <c r="W160" s="44"/>
      <c r="X160" s="44"/>
      <c r="Y160" s="44"/>
      <c r="Z160" s="44"/>
      <c r="AA160" s="44"/>
      <c r="AB160" s="225"/>
      <c r="AC160" s="44"/>
      <c r="AD160" s="44"/>
      <c r="AE160" s="44"/>
      <c r="AF160" s="44"/>
      <c r="AG160" s="44"/>
      <c r="AH160" s="44"/>
      <c r="AI160" s="44"/>
      <c r="AJ160" s="44"/>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5" x14ac:dyDescent="0.3">
      <c r="B161" s="54" t="s">
        <v>375</v>
      </c>
      <c r="C161" s="160"/>
      <c r="D161" s="84" t="s">
        <v>281</v>
      </c>
      <c r="G161" s="34"/>
      <c r="H161" s="84"/>
      <c r="J161" s="33"/>
      <c r="K161" s="38" t="s">
        <v>329</v>
      </c>
      <c r="L161" s="38" t="s">
        <v>201</v>
      </c>
      <c r="M161" s="84"/>
      <c r="N161" s="84"/>
      <c r="O161" s="100"/>
      <c r="Q161" s="35"/>
      <c r="R161" s="218" t="str">
        <f>IF(AND(ISNUMBER(G162),ISNUMBER(C161)),SUM(R162,R165:R167),"")</f>
        <v/>
      </c>
      <c r="S161" s="232" t="s">
        <v>172</v>
      </c>
      <c r="T161" s="44"/>
      <c r="U161" s="44"/>
      <c r="V161" s="44"/>
      <c r="W161" s="44"/>
      <c r="X161" s="44"/>
      <c r="Y161" s="44"/>
      <c r="Z161" s="44"/>
      <c r="AA161" s="44"/>
      <c r="AB161" s="225"/>
      <c r="AC161" s="44"/>
      <c r="AD161" s="44"/>
      <c r="AE161" s="44"/>
      <c r="AF161" s="44"/>
      <c r="AG161" s="44"/>
      <c r="AH161" s="44"/>
      <c r="AI161" s="44"/>
      <c r="AJ161" s="44"/>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46.5" x14ac:dyDescent="0.3">
      <c r="B162" s="155" t="s">
        <v>728</v>
      </c>
      <c r="C162" s="396" t="s">
        <v>283</v>
      </c>
      <c r="D162" s="397"/>
      <c r="G162" s="156"/>
      <c r="H162" s="84" t="s">
        <v>5</v>
      </c>
      <c r="J162" s="173" t="s">
        <v>441</v>
      </c>
      <c r="K162" s="96">
        <f>IF(ISNUMBER(L162),L162,IF(C162=Pudotusvalikot!$N$4,Kalusto!$G$105,IF(C162=Pudotusvalikot!$N$5,Kalusto!$G$106,IF(C162=Pudotusvalikot!$N$6,Kalusto!$G$107,IF(C162=Pudotusvalikot!$N$7,Kalusto!$G$108,Kalusto!$G$105))))*IF(OR(C164=Pudotusvalikot!$V$3,C164=Pudotusvalikot!$V$4),Muut!$E$38,IF(C164=Pudotusvalikot!$V$5,Muut!$E$39,IF(C164=Pudotusvalikot!$V$6,Muut!$E$40,Muut!$E$41))))</f>
        <v>4.9950000000000001E-2</v>
      </c>
      <c r="L162" s="40"/>
      <c r="M162" s="41" t="s">
        <v>200</v>
      </c>
      <c r="N162" s="41"/>
      <c r="O162" s="265"/>
      <c r="Q162" s="35"/>
      <c r="R162" s="218" t="str">
        <f>IF(ISNUMBER(Y163*X163*K162),Y163*X163*K162,"")</f>
        <v/>
      </c>
      <c r="S162" s="232" t="s">
        <v>172</v>
      </c>
      <c r="T162" s="44" t="s">
        <v>446</v>
      </c>
      <c r="U162" s="44" t="s">
        <v>384</v>
      </c>
      <c r="V162" s="44" t="s">
        <v>443</v>
      </c>
      <c r="W162" s="44" t="s">
        <v>444</v>
      </c>
      <c r="X162" s="44" t="s">
        <v>447</v>
      </c>
      <c r="Y162" s="44" t="s">
        <v>449</v>
      </c>
      <c r="Z162" s="44" t="s">
        <v>374</v>
      </c>
      <c r="AA162" s="44"/>
      <c r="AB162" s="225"/>
      <c r="AC162" s="44"/>
      <c r="AD162" s="44"/>
      <c r="AE162" s="44"/>
      <c r="AF162" s="44"/>
      <c r="AG162" s="44"/>
      <c r="AH162" s="44"/>
      <c r="AI162" s="44"/>
      <c r="AJ162" s="44"/>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15.5" x14ac:dyDescent="0.3">
      <c r="B163" s="78" t="s">
        <v>377</v>
      </c>
      <c r="C163" s="392" t="s">
        <v>93</v>
      </c>
      <c r="D163" s="393"/>
      <c r="E163" s="393"/>
      <c r="F163" s="393"/>
      <c r="G163" s="394"/>
      <c r="J163" s="33"/>
      <c r="K163" s="38" t="s">
        <v>329</v>
      </c>
      <c r="L163" s="38" t="s">
        <v>201</v>
      </c>
      <c r="M163" s="41"/>
      <c r="N163" s="41"/>
      <c r="O163" s="265"/>
      <c r="Q163" s="47"/>
      <c r="R163" s="225"/>
      <c r="S163" s="44"/>
      <c r="T163" s="216" t="str">
        <f>IF(ISNUMBER(L162),"Kohdetieto",IF(OR(C163=Pudotusvalikot!$D$14,C163=Pudotusvalikot!$D$15),Kalusto!$I$96,VLOOKUP(C163,Kalusto!$C$44:$L$83,7,FALSE)))</f>
        <v>Puoliperävaunu</v>
      </c>
      <c r="U163" s="216">
        <f>IF(ISNUMBER(L162),"Kohdetieto",IF(OR(C163=Pudotusvalikot!$D$14,C163=Pudotusvalikot!$D$15),Kalusto!$J$96,VLOOKUP(C163,Kalusto!$C$44:$L$83,8,FALSE)))</f>
        <v>40</v>
      </c>
      <c r="V163" s="217">
        <f>IF(ISNUMBER(L162),"Kohdetieto",IF(OR(C163=Pudotusvalikot!$D$14,C163=Pudotusvalikot!$D$15),Kalusto!$K$96,VLOOKUP(C163,Kalusto!$C$44:$L$83,9,FALSE)))</f>
        <v>0.8</v>
      </c>
      <c r="W163" s="217" t="str">
        <f>IF(ISNUMBER(L162),"Kohdetieto",IF(OR(C163=Pudotusvalikot!$D$14,C163=Pudotusvalikot!$D$15),Kalusto!$L$96,VLOOKUP(C163,Kalusto!$C$44:$L$83,10,FALSE)))</f>
        <v>maantieajo</v>
      </c>
      <c r="X163" s="218" t="str">
        <f>IF(ISBLANK(C161),"",C161/1000)</f>
        <v/>
      </c>
      <c r="Y163" s="216" t="str">
        <f>IF(ISNUMBER(G162),G162,"")</f>
        <v/>
      </c>
      <c r="Z163" s="219">
        <f>IF(ISNUMBER(L162),L162,K162)</f>
        <v>4.9950000000000001E-2</v>
      </c>
      <c r="AA163" s="44"/>
      <c r="AB163" s="225"/>
      <c r="AC163" s="44"/>
      <c r="AD163" s="44"/>
      <c r="AE163" s="44"/>
      <c r="AF163" s="44"/>
      <c r="AG163" s="44"/>
      <c r="AH163" s="44"/>
      <c r="AI163" s="44"/>
      <c r="AJ163" s="44"/>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5" x14ac:dyDescent="0.3">
      <c r="B164" s="78" t="s">
        <v>506</v>
      </c>
      <c r="C164" s="160" t="s">
        <v>242</v>
      </c>
      <c r="D164" s="34"/>
      <c r="E164" s="34"/>
      <c r="F164" s="34"/>
      <c r="G164" s="34"/>
      <c r="H164" s="59"/>
      <c r="J164" s="173"/>
      <c r="K164" s="173"/>
      <c r="L164" s="173"/>
      <c r="M164" s="41"/>
      <c r="N164" s="41"/>
      <c r="O164" s="265"/>
      <c r="Q164" s="47"/>
      <c r="R164" s="44"/>
      <c r="S164" s="44"/>
      <c r="T164" s="44"/>
      <c r="U164" s="44"/>
      <c r="V164" s="220"/>
      <c r="W164" s="220"/>
      <c r="X164" s="221"/>
      <c r="Y164" s="44"/>
      <c r="Z164" s="221"/>
      <c r="AA164" s="222"/>
      <c r="AB164" s="221"/>
      <c r="AC164" s="221"/>
      <c r="AD164" s="221"/>
      <c r="AE164" s="221"/>
      <c r="AF164" s="222"/>
      <c r="AG164" s="221"/>
      <c r="AH164" s="44"/>
      <c r="AI164" s="44"/>
      <c r="AJ164" s="44"/>
      <c r="AK164" s="108"/>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5" x14ac:dyDescent="0.3">
      <c r="B165" s="155" t="s">
        <v>542</v>
      </c>
      <c r="C165" s="395" t="s">
        <v>283</v>
      </c>
      <c r="D165" s="395"/>
      <c r="G165" s="156"/>
      <c r="H165" s="84" t="s">
        <v>5</v>
      </c>
      <c r="J165" s="33" t="str">
        <f>IF(C165="Kuljetus","Ei oletusta","Oletus (" &amp; IF(C165="Tiekuljetus",Kalusto!$C$105,IF(C165="Raidekuljetus",Kalusto!$C$106,IF(C165="Laivarahti",Kalusto!$C$107,Kalusto!$C$108))) &amp; ")" )</f>
        <v>Oletus (Puoliperävaunuyhdistelmä, 40 t, 100 % kuorma, maantieajo)</v>
      </c>
      <c r="K165" s="96">
        <f>IF(ISNUMBER(L165),L165,IF(C165=Pudotusvalikot!$N$4,Kalusto!$G$105,IF(C165=Pudotusvalikot!$N$5,Kalusto!$G$106,IF(C165=Pudotusvalikot!$N$6,Kalusto!$G$107,IF(C165=Pudotusvalikot!$N$7,Kalusto!$G$108,Kalusto!$G$105)))))</f>
        <v>4.9950000000000001E-2</v>
      </c>
      <c r="L165" s="40"/>
      <c r="M165" s="41" t="s">
        <v>200</v>
      </c>
      <c r="N165" s="41"/>
      <c r="O165" s="265"/>
      <c r="Q165" s="35"/>
      <c r="R165" s="218" t="str">
        <f>IF(AND(ISNUMBER(G162)*ISNUMBER(C161)),K165*G165*C161,"")</f>
        <v/>
      </c>
      <c r="S165" s="232" t="s">
        <v>172</v>
      </c>
      <c r="T165" s="44"/>
      <c r="U165" s="44"/>
      <c r="V165" s="44"/>
      <c r="W165" s="44"/>
      <c r="X165" s="44"/>
      <c r="Y165" s="44"/>
      <c r="Z165" s="44"/>
      <c r="AA165" s="44"/>
      <c r="AB165" s="225"/>
      <c r="AC165" s="44"/>
      <c r="AD165" s="44"/>
      <c r="AE165" s="44"/>
      <c r="AF165" s="44"/>
      <c r="AG165" s="44"/>
      <c r="AH165" s="44"/>
      <c r="AI165" s="44"/>
      <c r="AJ165" s="44"/>
      <c r="AK165" s="36"/>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5" x14ac:dyDescent="0.3">
      <c r="B166" s="155" t="s">
        <v>542</v>
      </c>
      <c r="C166" s="395" t="s">
        <v>284</v>
      </c>
      <c r="D166" s="395"/>
      <c r="G166" s="156"/>
      <c r="H166" s="84" t="s">
        <v>5</v>
      </c>
      <c r="J166" s="33" t="str">
        <f>IF(C166="Kuljetus","Ei oletusta","Oletus (" &amp; IF(C166="Tiekuljetus",Kalusto!$C$105,IF(C166="Raidekuljetus",Kalusto!$C$106,IF(C166="Laivarahti",Kalusto!$C$107,Kalusto!$C$108))) &amp; ")" )</f>
        <v>Oletus (Merikuljetus, konttilaiva, 1000 TEU)</v>
      </c>
      <c r="K166" s="96">
        <f>IF(ISNUMBER(L166),L166,IF(C166=Pudotusvalikot!$N$4,Kalusto!$G$105,IF(C166=Pudotusvalikot!$N$5,Kalusto!$G$106,IF(C166=Pudotusvalikot!$N$6,Kalusto!$G$107,IF(C166=Pudotusvalikot!$N$7,Kalusto!$G$108,"--")))))</f>
        <v>4.4999999999999998E-2</v>
      </c>
      <c r="L166" s="40"/>
      <c r="M166" s="41" t="s">
        <v>200</v>
      </c>
      <c r="N166" s="41"/>
      <c r="O166" s="265"/>
      <c r="Q166" s="35"/>
      <c r="R166" s="218" t="str">
        <f>IF(AND(ISNUMBER(G162)*ISNUMBER(C161)),K166*G166*C161,"")</f>
        <v/>
      </c>
      <c r="S166" s="232" t="s">
        <v>172</v>
      </c>
      <c r="T166" s="44"/>
      <c r="U166" s="44"/>
      <c r="V166" s="44"/>
      <c r="W166" s="44"/>
      <c r="X166" s="44"/>
      <c r="Y166" s="44"/>
      <c r="Z166" s="44"/>
      <c r="AA166" s="44"/>
      <c r="AB166" s="225"/>
      <c r="AC166" s="44"/>
      <c r="AD166" s="44"/>
      <c r="AE166" s="44"/>
      <c r="AF166" s="44"/>
      <c r="AG166" s="44"/>
      <c r="AH166" s="44"/>
      <c r="AI166" s="44"/>
      <c r="AJ166" s="44"/>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5" x14ac:dyDescent="0.3">
      <c r="B167" s="155" t="s">
        <v>542</v>
      </c>
      <c r="C167" s="395" t="s">
        <v>283</v>
      </c>
      <c r="D167" s="395"/>
      <c r="G167" s="156"/>
      <c r="H167" s="84" t="s">
        <v>5</v>
      </c>
      <c r="J167" s="33" t="str">
        <f>IF(C167="Kuljetus","Ei oletusta","Oletus (" &amp; IF(C167="Tiekuljetus",Kalusto!$C$105,IF(C167="Raidekuljetus",Kalusto!$C$106,IF(C167="Laivarahti",Kalusto!$C$107,Kalusto!$C$108))) &amp; ")" )</f>
        <v>Oletus (Puoliperävaunuyhdistelmä, 40 t, 100 % kuorma, maantieajo)</v>
      </c>
      <c r="K167" s="96">
        <f>IF(ISNUMBER(L167),L167,IF(C167=Pudotusvalikot!$N$4,Kalusto!$G$105,IF(C167=Pudotusvalikot!$N$5,Kalusto!$G$106,IF(C167=Pudotusvalikot!$N$6,Kalusto!$G$107,IF(C167=Pudotusvalikot!$N$7,Kalusto!$G$108,"--")))))</f>
        <v>4.9950000000000001E-2</v>
      </c>
      <c r="L167" s="40"/>
      <c r="M167" s="41" t="s">
        <v>200</v>
      </c>
      <c r="N167" s="41"/>
      <c r="O167" s="265"/>
      <c r="Q167" s="35"/>
      <c r="R167" s="218" t="str">
        <f>IF(AND(ISNUMBER(G162)*ISNUMBER(C161)),K167*G167*C161,"")</f>
        <v/>
      </c>
      <c r="S167" s="232" t="s">
        <v>172</v>
      </c>
      <c r="T167" s="44"/>
      <c r="U167" s="44"/>
      <c r="V167" s="44"/>
      <c r="W167" s="44"/>
      <c r="X167" s="44"/>
      <c r="Y167" s="44"/>
      <c r="Z167" s="44"/>
      <c r="AA167" s="44"/>
      <c r="AB167" s="225"/>
      <c r="AC167" s="44"/>
      <c r="AD167" s="44"/>
      <c r="AE167" s="44"/>
      <c r="AF167" s="44"/>
      <c r="AG167" s="44"/>
      <c r="AH167" s="44"/>
      <c r="AI167" s="44"/>
      <c r="AJ167" s="44"/>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5" x14ac:dyDescent="0.3">
      <c r="B168" s="9" t="str">
        <f>B137</f>
        <v>Kemikaali-, tuote- tai materiaalilaji 3</v>
      </c>
      <c r="C168" s="34"/>
      <c r="D168" s="84"/>
      <c r="G168" s="72"/>
      <c r="H168" s="84"/>
      <c r="J168" s="33"/>
      <c r="K168" s="34"/>
      <c r="L168" s="34"/>
      <c r="M168" s="84"/>
      <c r="N168" s="84"/>
      <c r="O168" s="100"/>
      <c r="Q168" s="35"/>
      <c r="R168" s="44" t="s">
        <v>350</v>
      </c>
      <c r="S168" s="44"/>
      <c r="T168" s="44"/>
      <c r="U168" s="44"/>
      <c r="V168" s="44"/>
      <c r="W168" s="44"/>
      <c r="X168" s="44"/>
      <c r="Y168" s="44"/>
      <c r="Z168" s="44"/>
      <c r="AA168" s="44"/>
      <c r="AB168" s="225"/>
      <c r="AC168" s="44"/>
      <c r="AD168" s="44"/>
      <c r="AE168" s="44"/>
      <c r="AF168" s="44"/>
      <c r="AG168" s="44"/>
      <c r="AH168" s="44"/>
      <c r="AI168" s="44"/>
      <c r="AJ168" s="44"/>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5" x14ac:dyDescent="0.3">
      <c r="B169" s="54" t="s">
        <v>375</v>
      </c>
      <c r="C169" s="160"/>
      <c r="D169" s="84" t="s">
        <v>281</v>
      </c>
      <c r="G169" s="34"/>
      <c r="H169" s="84"/>
      <c r="J169" s="33"/>
      <c r="K169" s="38" t="s">
        <v>329</v>
      </c>
      <c r="L169" s="38" t="s">
        <v>201</v>
      </c>
      <c r="M169" s="84"/>
      <c r="N169" s="84"/>
      <c r="O169" s="100"/>
      <c r="Q169" s="35"/>
      <c r="R169" s="218" t="str">
        <f>IF(AND(ISNUMBER(G170),ISNUMBER(C169)),SUM(R170,R173:R175),"")</f>
        <v/>
      </c>
      <c r="S169" s="232" t="s">
        <v>172</v>
      </c>
      <c r="T169" s="44"/>
      <c r="U169" s="44"/>
      <c r="V169" s="44"/>
      <c r="W169" s="44"/>
      <c r="X169" s="44"/>
      <c r="Y169" s="44"/>
      <c r="Z169" s="44"/>
      <c r="AA169" s="44"/>
      <c r="AB169" s="225"/>
      <c r="AC169" s="44"/>
      <c r="AD169" s="44"/>
      <c r="AE169" s="44"/>
      <c r="AF169" s="44"/>
      <c r="AG169" s="44"/>
      <c r="AH169" s="44"/>
      <c r="AI169" s="44"/>
      <c r="AJ169" s="44"/>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46.5" x14ac:dyDescent="0.3">
      <c r="B170" s="155" t="s">
        <v>728</v>
      </c>
      <c r="C170" s="396" t="s">
        <v>283</v>
      </c>
      <c r="D170" s="397"/>
      <c r="G170" s="156"/>
      <c r="H170" s="84" t="s">
        <v>5</v>
      </c>
      <c r="J170" s="173" t="s">
        <v>441</v>
      </c>
      <c r="K170" s="96">
        <f>IF(ISNUMBER(L170),L170,IF(C170=Pudotusvalikot!$N$4,Kalusto!$G$105,IF(C170=Pudotusvalikot!$N$5,Kalusto!$G$106,IF(C170=Pudotusvalikot!$N$6,Kalusto!$G$107,IF(C170=Pudotusvalikot!$N$7,Kalusto!$G$108,Kalusto!$G$105))))*IF(OR(C172=Pudotusvalikot!$V$3,C172=Pudotusvalikot!$V$4),Muut!$E$38,IF(C172=Pudotusvalikot!$V$5,Muut!$E$39,IF(C172=Pudotusvalikot!$V$6,Muut!$E$40,Muut!$E$41))))</f>
        <v>4.9950000000000001E-2</v>
      </c>
      <c r="L170" s="40"/>
      <c r="M170" s="41" t="s">
        <v>200</v>
      </c>
      <c r="N170" s="41"/>
      <c r="O170" s="265"/>
      <c r="Q170" s="35"/>
      <c r="R170" s="218" t="str">
        <f>IF(ISNUMBER(Y171*X171*K170),Y171*X171*K170,"")</f>
        <v/>
      </c>
      <c r="S170" s="232" t="s">
        <v>172</v>
      </c>
      <c r="T170" s="44" t="s">
        <v>446</v>
      </c>
      <c r="U170" s="44" t="s">
        <v>384</v>
      </c>
      <c r="V170" s="44" t="s">
        <v>443</v>
      </c>
      <c r="W170" s="44" t="s">
        <v>444</v>
      </c>
      <c r="X170" s="44" t="s">
        <v>447</v>
      </c>
      <c r="Y170" s="44" t="s">
        <v>449</v>
      </c>
      <c r="Z170" s="44" t="s">
        <v>374</v>
      </c>
      <c r="AA170" s="44"/>
      <c r="AB170" s="225"/>
      <c r="AC170" s="44"/>
      <c r="AD170" s="44"/>
      <c r="AE170" s="44"/>
      <c r="AF170" s="44"/>
      <c r="AG170" s="44"/>
      <c r="AH170" s="44"/>
      <c r="AI170" s="44"/>
      <c r="AJ170" s="44"/>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15.5" x14ac:dyDescent="0.3">
      <c r="B171" s="78" t="s">
        <v>377</v>
      </c>
      <c r="C171" s="392" t="s">
        <v>93</v>
      </c>
      <c r="D171" s="393"/>
      <c r="E171" s="393"/>
      <c r="F171" s="393"/>
      <c r="G171" s="394"/>
      <c r="H171" s="46" t="s">
        <v>203</v>
      </c>
      <c r="J171" s="33"/>
      <c r="K171" s="38" t="s">
        <v>329</v>
      </c>
      <c r="L171" s="38" t="s">
        <v>201</v>
      </c>
      <c r="M171" s="41"/>
      <c r="N171" s="41"/>
      <c r="O171" s="265"/>
      <c r="Q171" s="47"/>
      <c r="R171" s="225"/>
      <c r="S171" s="44"/>
      <c r="T171" s="216" t="str">
        <f>IF(ISNUMBER(L170),"Kohdetieto",IF(OR(C171=Pudotusvalikot!$D$14,C171=Pudotusvalikot!$D$15),Kalusto!$I$96,VLOOKUP(C171,Kalusto!$C$44:$L$83,7,FALSE)))</f>
        <v>Puoliperävaunu</v>
      </c>
      <c r="U171" s="216">
        <f>IF(ISNUMBER(L170),"Kohdetieto",IF(OR(C171=Pudotusvalikot!$D$14,C171=Pudotusvalikot!$D$15),Kalusto!$J$96,VLOOKUP(C171,Kalusto!$C$44:$L$83,8,FALSE)))</f>
        <v>40</v>
      </c>
      <c r="V171" s="217">
        <f>IF(ISNUMBER(L170),"Kohdetieto",IF(OR(C171=Pudotusvalikot!$D$14,C171=Pudotusvalikot!$D$15),Kalusto!$K$96,VLOOKUP(C171,Kalusto!$C$44:$L$83,9,FALSE)))</f>
        <v>0.8</v>
      </c>
      <c r="W171" s="217" t="str">
        <f>IF(ISNUMBER(L170),"Kohdetieto",IF(OR(C171=Pudotusvalikot!$D$14,C171=Pudotusvalikot!$D$15),Kalusto!$L$96,VLOOKUP(C171,Kalusto!$C$44:$L$83,10,FALSE)))</f>
        <v>maantieajo</v>
      </c>
      <c r="X171" s="218" t="str">
        <f>IF(ISBLANK(C169),"",C169/1000)</f>
        <v/>
      </c>
      <c r="Y171" s="216" t="str">
        <f>IF(ISNUMBER(G170),G170,"")</f>
        <v/>
      </c>
      <c r="Z171" s="219">
        <f>IF(ISNUMBER(L170),L170,K170)</f>
        <v>4.9950000000000001E-2</v>
      </c>
      <c r="AA171" s="44"/>
      <c r="AB171" s="225"/>
      <c r="AC171" s="44"/>
      <c r="AD171" s="44"/>
      <c r="AE171" s="44"/>
      <c r="AF171" s="44"/>
      <c r="AG171" s="44"/>
      <c r="AH171" s="44"/>
      <c r="AI171" s="44"/>
      <c r="AJ171" s="44"/>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5" x14ac:dyDescent="0.3">
      <c r="B172" s="78" t="s">
        <v>506</v>
      </c>
      <c r="C172" s="160" t="s">
        <v>242</v>
      </c>
      <c r="D172" s="34"/>
      <c r="E172" s="34"/>
      <c r="F172" s="34"/>
      <c r="G172" s="34"/>
      <c r="H172" s="59"/>
      <c r="J172" s="173"/>
      <c r="K172" s="173"/>
      <c r="L172" s="173"/>
      <c r="M172" s="41"/>
      <c r="N172" s="41"/>
      <c r="O172" s="265"/>
      <c r="Q172" s="47"/>
      <c r="R172" s="44"/>
      <c r="S172" s="44"/>
      <c r="T172" s="44"/>
      <c r="U172" s="44"/>
      <c r="V172" s="220"/>
      <c r="W172" s="220"/>
      <c r="X172" s="221"/>
      <c r="Y172" s="44"/>
      <c r="Z172" s="221"/>
      <c r="AA172" s="222"/>
      <c r="AB172" s="221"/>
      <c r="AC172" s="221"/>
      <c r="AD172" s="221"/>
      <c r="AE172" s="221"/>
      <c r="AF172" s="222"/>
      <c r="AG172" s="221"/>
      <c r="AH172" s="44"/>
      <c r="AI172" s="44"/>
      <c r="AJ172" s="44"/>
      <c r="AK172" s="108"/>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5" x14ac:dyDescent="0.3">
      <c r="B173" s="155" t="s">
        <v>542</v>
      </c>
      <c r="C173" s="395" t="s">
        <v>283</v>
      </c>
      <c r="D173" s="395"/>
      <c r="G173" s="156"/>
      <c r="H173" s="84" t="s">
        <v>5</v>
      </c>
      <c r="J173" s="33" t="str">
        <f>IF(C173="Kuljetus","Ei oletusta","Oletus (" &amp; IF(C173="Tiekuljetus",Kalusto!$C$105,IF(C173="Raidekuljetus",Kalusto!$C$106,IF(C173="Laivarahti",Kalusto!$C$107,Kalusto!$C$108))) &amp; ")" )</f>
        <v>Oletus (Puoliperävaunuyhdistelmä, 40 t, 100 % kuorma, maantieajo)</v>
      </c>
      <c r="K173" s="96">
        <f>IF(ISNUMBER(L173),L173,IF(C173=Pudotusvalikot!$N$4,Kalusto!$G$105,IF(C173=Pudotusvalikot!$N$5,Kalusto!$G$106,IF(C173=Pudotusvalikot!$N$6,Kalusto!$G$107,IF(C173=Pudotusvalikot!$N$7,Kalusto!$G$108,Kalusto!$G$105)))))</f>
        <v>4.9950000000000001E-2</v>
      </c>
      <c r="L173" s="40"/>
      <c r="M173" s="41" t="s">
        <v>200</v>
      </c>
      <c r="N173" s="41"/>
      <c r="O173" s="265"/>
      <c r="Q173" s="35"/>
      <c r="R173" s="218" t="str">
        <f>IF(AND(ISNUMBER(G170)*ISNUMBER(C169)),K173*G173*C169,"")</f>
        <v/>
      </c>
      <c r="S173" s="232" t="s">
        <v>172</v>
      </c>
      <c r="T173" s="44"/>
      <c r="U173" s="44"/>
      <c r="V173" s="44"/>
      <c r="W173" s="44"/>
      <c r="X173" s="44"/>
      <c r="Y173" s="44"/>
      <c r="Z173" s="44"/>
      <c r="AA173" s="44"/>
      <c r="AB173" s="225"/>
      <c r="AC173" s="44"/>
      <c r="AD173" s="44"/>
      <c r="AE173" s="44"/>
      <c r="AF173" s="44"/>
      <c r="AG173" s="44"/>
      <c r="AH173" s="44"/>
      <c r="AI173" s="44"/>
      <c r="AJ173" s="44"/>
      <c r="AK173" s="36"/>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5" x14ac:dyDescent="0.3">
      <c r="B174" s="155" t="s">
        <v>542</v>
      </c>
      <c r="C174" s="395" t="s">
        <v>284</v>
      </c>
      <c r="D174" s="395"/>
      <c r="G174" s="156"/>
      <c r="H174" s="84" t="s">
        <v>5</v>
      </c>
      <c r="J174" s="33" t="str">
        <f>IF(C174="Kuljetus","Ei oletusta","Oletus (" &amp; IF(C174="Tiekuljetus",Kalusto!$C$105,IF(C174="Raidekuljetus",Kalusto!$C$106,IF(C174="Laivarahti",Kalusto!$C$107,Kalusto!$C$108))) &amp; ")" )</f>
        <v>Oletus (Merikuljetus, konttilaiva, 1000 TEU)</v>
      </c>
      <c r="K174" s="96">
        <f>IF(ISNUMBER(L174),L174,IF(C174=Pudotusvalikot!$N$4,Kalusto!$G$105,IF(C174=Pudotusvalikot!$N$5,Kalusto!$G$106,IF(C174=Pudotusvalikot!$N$6,Kalusto!$G$107,IF(C174=Pudotusvalikot!$N$7,Kalusto!$G$108,"--")))))</f>
        <v>4.4999999999999998E-2</v>
      </c>
      <c r="L174" s="40"/>
      <c r="M174" s="41" t="s">
        <v>200</v>
      </c>
      <c r="N174" s="41"/>
      <c r="O174" s="265"/>
      <c r="Q174" s="35"/>
      <c r="R174" s="218" t="str">
        <f>IF(AND(ISNUMBER(G170)*ISNUMBER(C169)),K174*G174*C169,"")</f>
        <v/>
      </c>
      <c r="S174" s="232" t="s">
        <v>172</v>
      </c>
      <c r="T174" s="44"/>
      <c r="U174" s="44"/>
      <c r="V174" s="44"/>
      <c r="W174" s="44"/>
      <c r="X174" s="44"/>
      <c r="Y174" s="44"/>
      <c r="Z174" s="44"/>
      <c r="AA174" s="44"/>
      <c r="AB174" s="225"/>
      <c r="AC174" s="44"/>
      <c r="AD174" s="44"/>
      <c r="AE174" s="44"/>
      <c r="AF174" s="44"/>
      <c r="AG174" s="44"/>
      <c r="AH174" s="44"/>
      <c r="AI174" s="44"/>
      <c r="AJ174" s="44"/>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5" x14ac:dyDescent="0.3">
      <c r="B175" s="155" t="s">
        <v>542</v>
      </c>
      <c r="C175" s="395" t="s">
        <v>283</v>
      </c>
      <c r="D175" s="395"/>
      <c r="G175" s="156"/>
      <c r="H175" s="84" t="s">
        <v>5</v>
      </c>
      <c r="J175" s="33" t="str">
        <f>IF(C175="Kuljetus","Ei oletusta","Oletus (" &amp; IF(C175="Tiekuljetus",Kalusto!$C$105,IF(C175="Raidekuljetus",Kalusto!$C$106,IF(C175="Laivarahti",Kalusto!$C$107,Kalusto!$C$108))) &amp; ")" )</f>
        <v>Oletus (Puoliperävaunuyhdistelmä, 40 t, 100 % kuorma, maantieajo)</v>
      </c>
      <c r="K175" s="96">
        <f>IF(ISNUMBER(L175),L175,IF(C175=Pudotusvalikot!$N$4,Kalusto!$G$105,IF(C175=Pudotusvalikot!$N$5,Kalusto!$G$106,IF(C175=Pudotusvalikot!$N$6,Kalusto!$G$107,IF(C175=Pudotusvalikot!$N$7,Kalusto!$G$108,"--")))))</f>
        <v>4.9950000000000001E-2</v>
      </c>
      <c r="L175" s="40"/>
      <c r="M175" s="41" t="s">
        <v>200</v>
      </c>
      <c r="N175" s="41"/>
      <c r="O175" s="265"/>
      <c r="Q175" s="35"/>
      <c r="R175" s="218" t="str">
        <f>IF(AND(ISNUMBER(G170)*ISNUMBER(C169)),K175*G175*C169,"")</f>
        <v/>
      </c>
      <c r="S175" s="232" t="s">
        <v>172</v>
      </c>
      <c r="T175" s="44"/>
      <c r="U175" s="44"/>
      <c r="V175" s="44"/>
      <c r="W175" s="44"/>
      <c r="X175" s="44"/>
      <c r="Y175" s="44"/>
      <c r="Z175" s="44"/>
      <c r="AA175" s="44"/>
      <c r="AB175" s="225"/>
      <c r="AC175" s="44"/>
      <c r="AD175" s="44"/>
      <c r="AE175" s="44"/>
      <c r="AF175" s="44"/>
      <c r="AG175" s="44"/>
      <c r="AH175" s="44"/>
      <c r="AI175" s="44"/>
      <c r="AJ175" s="44"/>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5" x14ac:dyDescent="0.3">
      <c r="B176" s="9" t="str">
        <f>B140</f>
        <v>Kemikaali-, tuote- tai materiaalilaji 4</v>
      </c>
      <c r="C176" s="34"/>
      <c r="D176" s="84"/>
      <c r="G176" s="72"/>
      <c r="H176" s="84"/>
      <c r="J176" s="33"/>
      <c r="K176" s="34"/>
      <c r="L176" s="34"/>
      <c r="M176" s="84"/>
      <c r="N176" s="84"/>
      <c r="O176" s="100"/>
      <c r="Q176" s="35"/>
      <c r="R176" s="44" t="s">
        <v>350</v>
      </c>
      <c r="S176" s="44"/>
      <c r="T176" s="44"/>
      <c r="U176" s="44"/>
      <c r="V176" s="44"/>
      <c r="W176" s="44"/>
      <c r="X176" s="44"/>
      <c r="Y176" s="44"/>
      <c r="Z176" s="44"/>
      <c r="AA176" s="44"/>
      <c r="AB176" s="225"/>
      <c r="AC176" s="44"/>
      <c r="AD176" s="44"/>
      <c r="AE176" s="44"/>
      <c r="AF176" s="44"/>
      <c r="AG176" s="44"/>
      <c r="AH176" s="44"/>
      <c r="AI176" s="44"/>
      <c r="AJ176" s="44"/>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7" s="31" customFormat="1" ht="15.5" x14ac:dyDescent="0.3">
      <c r="B177" s="54" t="s">
        <v>375</v>
      </c>
      <c r="C177" s="160"/>
      <c r="D177" s="84" t="s">
        <v>281</v>
      </c>
      <c r="G177" s="34"/>
      <c r="H177" s="84"/>
      <c r="J177" s="33"/>
      <c r="K177" s="38" t="s">
        <v>329</v>
      </c>
      <c r="L177" s="38" t="s">
        <v>201</v>
      </c>
      <c r="M177" s="84"/>
      <c r="N177" s="84"/>
      <c r="O177" s="100"/>
      <c r="Q177" s="35"/>
      <c r="R177" s="218" t="str">
        <f>IF(AND(ISNUMBER(G178),ISNUMBER(C177)),SUM(R178,R181:R183),"")</f>
        <v/>
      </c>
      <c r="S177" s="232" t="s">
        <v>172</v>
      </c>
      <c r="T177" s="44"/>
      <c r="U177" s="44"/>
      <c r="V177" s="44"/>
      <c r="W177" s="44"/>
      <c r="X177" s="44"/>
      <c r="Y177" s="44"/>
      <c r="Z177" s="44"/>
      <c r="AA177" s="44"/>
      <c r="AB177" s="225"/>
      <c r="AC177" s="44"/>
      <c r="AD177" s="44"/>
      <c r="AE177" s="44"/>
      <c r="AF177" s="44"/>
      <c r="AG177" s="44"/>
      <c r="AH177" s="44"/>
      <c r="AI177" s="44"/>
      <c r="AJ177" s="44"/>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7" s="31" customFormat="1" ht="46.5" x14ac:dyDescent="0.3">
      <c r="B178" s="155" t="s">
        <v>728</v>
      </c>
      <c r="C178" s="396" t="s">
        <v>283</v>
      </c>
      <c r="D178" s="397"/>
      <c r="G178" s="156"/>
      <c r="H178" s="84" t="s">
        <v>5</v>
      </c>
      <c r="J178" s="173" t="s">
        <v>441</v>
      </c>
      <c r="K178" s="96">
        <f>IF(ISNUMBER(L178),L178,IF(C178=Pudotusvalikot!$N$4,Kalusto!$G$105,IF(C178=Pudotusvalikot!$N$5,Kalusto!$G$106,IF(C178=Pudotusvalikot!$N$6,Kalusto!$G$107,IF(C178=Pudotusvalikot!$N$7,Kalusto!$G$108,Kalusto!$G$105))))*IF(OR(C180=Pudotusvalikot!$V$3,C180=Pudotusvalikot!$V$4),Muut!$E$38,IF(C180=Pudotusvalikot!$V$5,Muut!$E$39,IF(C180=Pudotusvalikot!$V$6,Muut!$E$40,Muut!$E$41))))</f>
        <v>4.9950000000000001E-2</v>
      </c>
      <c r="L178" s="40"/>
      <c r="M178" s="41" t="s">
        <v>200</v>
      </c>
      <c r="N178" s="41"/>
      <c r="O178" s="265"/>
      <c r="Q178" s="35"/>
      <c r="R178" s="218" t="str">
        <f>IF(ISNUMBER(Y179*X179*K178),Y179*X179*K178,"")</f>
        <v/>
      </c>
      <c r="S178" s="232" t="s">
        <v>172</v>
      </c>
      <c r="T178" s="44" t="s">
        <v>446</v>
      </c>
      <c r="U178" s="44" t="s">
        <v>384</v>
      </c>
      <c r="V178" s="44" t="s">
        <v>443</v>
      </c>
      <c r="W178" s="44" t="s">
        <v>444</v>
      </c>
      <c r="X178" s="44" t="s">
        <v>447</v>
      </c>
      <c r="Y178" s="44" t="s">
        <v>449</v>
      </c>
      <c r="Z178" s="44" t="s">
        <v>374</v>
      </c>
      <c r="AA178" s="44"/>
      <c r="AB178" s="225"/>
      <c r="AC178" s="44"/>
      <c r="AD178" s="44"/>
      <c r="AE178" s="44"/>
      <c r="AF178" s="44"/>
      <c r="AG178" s="44"/>
      <c r="AH178" s="44"/>
      <c r="AI178" s="44"/>
      <c r="AJ178" s="44"/>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7" s="31" customFormat="1" ht="15.5" x14ac:dyDescent="0.3">
      <c r="B179" s="78" t="s">
        <v>377</v>
      </c>
      <c r="C179" s="392" t="s">
        <v>93</v>
      </c>
      <c r="D179" s="393"/>
      <c r="E179" s="393"/>
      <c r="F179" s="393"/>
      <c r="G179" s="394"/>
      <c r="J179" s="33"/>
      <c r="K179" s="38" t="s">
        <v>329</v>
      </c>
      <c r="L179" s="38" t="s">
        <v>201</v>
      </c>
      <c r="M179" s="41"/>
      <c r="N179" s="41"/>
      <c r="O179" s="265"/>
      <c r="Q179" s="47"/>
      <c r="R179" s="225"/>
      <c r="S179" s="44"/>
      <c r="T179" s="216" t="str">
        <f>IF(ISNUMBER(L178),"Kohdetieto",IF(OR(C179=Pudotusvalikot!$D$14,C179=Pudotusvalikot!$D$15),Kalusto!$I$96,VLOOKUP(C179,Kalusto!$C$44:$L$83,7,FALSE)))</f>
        <v>Puoliperävaunu</v>
      </c>
      <c r="U179" s="216">
        <f>IF(ISNUMBER(L178),"Kohdetieto",IF(OR(C179=Pudotusvalikot!$D$14,C179=Pudotusvalikot!$D$15),Kalusto!$J$96,VLOOKUP(C179,Kalusto!$C$44:$L$83,8,FALSE)))</f>
        <v>40</v>
      </c>
      <c r="V179" s="217">
        <f>IF(ISNUMBER(L178),"Kohdetieto",IF(OR(C179=Pudotusvalikot!$D$14,C179=Pudotusvalikot!$D$15),Kalusto!$K$96,VLOOKUP(C179,Kalusto!$C$44:$L$83,9,FALSE)))</f>
        <v>0.8</v>
      </c>
      <c r="W179" s="217" t="str">
        <f>IF(ISNUMBER(L178),"Kohdetieto",IF(OR(C179=Pudotusvalikot!$D$14,C179=Pudotusvalikot!$D$15),Kalusto!$L$96,VLOOKUP(C179,Kalusto!$C$44:$L$83,10,FALSE)))</f>
        <v>maantieajo</v>
      </c>
      <c r="X179" s="218" t="str">
        <f>IF(ISBLANK(C177),"",C177/1000)</f>
        <v/>
      </c>
      <c r="Y179" s="216" t="str">
        <f>IF(ISNUMBER(G178),G178,"")</f>
        <v/>
      </c>
      <c r="Z179" s="219">
        <f>IF(ISNUMBER(L178),L178,K178)</f>
        <v>4.9950000000000001E-2</v>
      </c>
      <c r="AA179" s="44"/>
      <c r="AB179" s="225"/>
      <c r="AC179" s="44"/>
      <c r="AD179" s="44"/>
      <c r="AE179" s="44"/>
      <c r="AF179" s="44"/>
      <c r="AG179" s="44"/>
      <c r="AH179" s="44"/>
      <c r="AI179" s="44"/>
      <c r="AJ179" s="44"/>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7" s="31" customFormat="1" ht="15.5" x14ac:dyDescent="0.3">
      <c r="B180" s="78" t="s">
        <v>506</v>
      </c>
      <c r="C180" s="160" t="s">
        <v>242</v>
      </c>
      <c r="D180" s="34"/>
      <c r="E180" s="34"/>
      <c r="F180" s="34"/>
      <c r="G180" s="34"/>
      <c r="H180" s="59"/>
      <c r="J180" s="173"/>
      <c r="K180" s="173"/>
      <c r="L180" s="173"/>
      <c r="M180" s="41"/>
      <c r="N180" s="41"/>
      <c r="O180" s="265"/>
      <c r="Q180" s="47"/>
      <c r="R180" s="44"/>
      <c r="S180" s="44"/>
      <c r="T180" s="44"/>
      <c r="U180" s="44"/>
      <c r="V180" s="220"/>
      <c r="W180" s="220"/>
      <c r="X180" s="221"/>
      <c r="Y180" s="44"/>
      <c r="Z180" s="221"/>
      <c r="AA180" s="222"/>
      <c r="AB180" s="221"/>
      <c r="AC180" s="221"/>
      <c r="AD180" s="221"/>
      <c r="AE180" s="221"/>
      <c r="AF180" s="222"/>
      <c r="AG180" s="221"/>
      <c r="AH180" s="44"/>
      <c r="AI180" s="44"/>
      <c r="AJ180" s="44"/>
      <c r="AK180" s="108"/>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7" s="31" customFormat="1" ht="15.5" x14ac:dyDescent="0.3">
      <c r="B181" s="155" t="s">
        <v>543</v>
      </c>
      <c r="C181" s="395" t="s">
        <v>283</v>
      </c>
      <c r="D181" s="395"/>
      <c r="G181" s="156"/>
      <c r="H181" s="84" t="s">
        <v>5</v>
      </c>
      <c r="J181" s="33" t="str">
        <f>IF(C181="Kuljetus","Ei oletusta","Oletus (" &amp; IF(C181="Tiekuljetus",Kalusto!$C$105,IF(C181="Raidekuljetus",Kalusto!$C$106,IF(C181="Laivarahti",Kalusto!$C$107,Kalusto!$C$108))) &amp; ")" )</f>
        <v>Oletus (Puoliperävaunuyhdistelmä, 40 t, 100 % kuorma, maantieajo)</v>
      </c>
      <c r="K181" s="96">
        <f>IF(ISNUMBER(L181),L181,IF(C181=Pudotusvalikot!$N$4,Kalusto!$G$105,IF(C181=Pudotusvalikot!$N$5,Kalusto!$G$106,IF(C181=Pudotusvalikot!$N$6,Kalusto!$G$107,IF(C181=Pudotusvalikot!$N$7,Kalusto!$G$108,Kalusto!$G$105)))))</f>
        <v>4.9950000000000001E-2</v>
      </c>
      <c r="L181" s="40"/>
      <c r="M181" s="41" t="s">
        <v>200</v>
      </c>
      <c r="N181" s="41"/>
      <c r="O181" s="265"/>
      <c r="Q181" s="35"/>
      <c r="R181" s="218" t="str">
        <f>IF(AND(ISNUMBER(G178)*ISNUMBER(C177)),K181*G181*C177,"")</f>
        <v/>
      </c>
      <c r="S181" s="232" t="s">
        <v>172</v>
      </c>
      <c r="T181" s="44"/>
      <c r="U181" s="44"/>
      <c r="V181" s="44"/>
      <c r="W181" s="44"/>
      <c r="X181" s="44"/>
      <c r="Y181" s="44"/>
      <c r="Z181" s="44"/>
      <c r="AA181" s="44"/>
      <c r="AB181" s="225"/>
      <c r="AC181" s="44"/>
      <c r="AD181" s="44"/>
      <c r="AE181" s="44"/>
      <c r="AF181" s="44"/>
      <c r="AG181" s="44"/>
      <c r="AH181" s="44"/>
      <c r="AI181" s="44"/>
      <c r="AJ181" s="44"/>
      <c r="AK181" s="36"/>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7" s="31" customFormat="1" ht="15.5" x14ac:dyDescent="0.3">
      <c r="B182" s="155" t="s">
        <v>543</v>
      </c>
      <c r="C182" s="395" t="s">
        <v>284</v>
      </c>
      <c r="D182" s="395"/>
      <c r="G182" s="156"/>
      <c r="H182" s="84" t="s">
        <v>5</v>
      </c>
      <c r="J182" s="33" t="str">
        <f>IF(C182="Kuljetus","Ei oletusta","Oletus (" &amp; IF(C182="Tiekuljetus",Kalusto!$C$105,IF(C182="Raidekuljetus",Kalusto!$C$106,IF(C182="Laivarahti",Kalusto!$C$107,Kalusto!$C$108))) &amp; ")" )</f>
        <v>Oletus (Merikuljetus, konttilaiva, 1000 TEU)</v>
      </c>
      <c r="K182" s="96">
        <f>IF(ISNUMBER(L182),L182,IF(C182=Pudotusvalikot!$N$4,Kalusto!$G$105,IF(C182=Pudotusvalikot!$N$5,Kalusto!$G$106,IF(C182=Pudotusvalikot!$N$6,Kalusto!$G$107,IF(C182=Pudotusvalikot!$N$7,Kalusto!$G$108,"--")))))</f>
        <v>4.4999999999999998E-2</v>
      </c>
      <c r="L182" s="40"/>
      <c r="M182" s="41" t="s">
        <v>200</v>
      </c>
      <c r="N182" s="41"/>
      <c r="O182" s="265"/>
      <c r="Q182" s="35"/>
      <c r="R182" s="218" t="str">
        <f>IF(AND(ISNUMBER(G178)*ISNUMBER(C177)),K182*G182*C177,"")</f>
        <v/>
      </c>
      <c r="S182" s="232" t="s">
        <v>172</v>
      </c>
      <c r="T182" s="44"/>
      <c r="U182" s="44"/>
      <c r="V182" s="44"/>
      <c r="W182" s="44"/>
      <c r="X182" s="44"/>
      <c r="Y182" s="44"/>
      <c r="Z182" s="44"/>
      <c r="AA182" s="44"/>
      <c r="AB182" s="225"/>
      <c r="AC182" s="44"/>
      <c r="AD182" s="44"/>
      <c r="AE182" s="44"/>
      <c r="AF182" s="44"/>
      <c r="AG182" s="44"/>
      <c r="AH182" s="44"/>
      <c r="AI182" s="44"/>
      <c r="AJ182" s="44"/>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7" s="31" customFormat="1" ht="15.5" x14ac:dyDescent="0.3">
      <c r="B183" s="155" t="s">
        <v>543</v>
      </c>
      <c r="C183" s="395" t="s">
        <v>283</v>
      </c>
      <c r="D183" s="395"/>
      <c r="G183" s="156"/>
      <c r="H183" s="84" t="s">
        <v>5</v>
      </c>
      <c r="J183" s="33" t="str">
        <f>IF(C183="Kuljetus","Ei oletusta","Oletus (" &amp; IF(C183="Tiekuljetus",Kalusto!$C$105,IF(C183="Raidekuljetus",Kalusto!$C$106,IF(C183="Laivarahti",Kalusto!$C$107,Kalusto!$C$108))) &amp; ")" )</f>
        <v>Oletus (Puoliperävaunuyhdistelmä, 40 t, 100 % kuorma, maantieajo)</v>
      </c>
      <c r="K183" s="96">
        <f>IF(ISNUMBER(L183),L183,IF(C183=Pudotusvalikot!$N$4,Kalusto!$G$105,IF(C183=Pudotusvalikot!$N$5,Kalusto!$G$106,IF(C183=Pudotusvalikot!$N$6,Kalusto!$G$107,IF(C183=Pudotusvalikot!$N$7,Kalusto!$G$108,"--")))))</f>
        <v>4.9950000000000001E-2</v>
      </c>
      <c r="L183" s="40"/>
      <c r="M183" s="41" t="s">
        <v>200</v>
      </c>
      <c r="N183" s="41"/>
      <c r="O183" s="265"/>
      <c r="Q183" s="35"/>
      <c r="R183" s="218" t="str">
        <f>IF(AND(ISNUMBER(G178)*ISNUMBER(C177)),K183*G183*C177,"")</f>
        <v/>
      </c>
      <c r="S183" s="232" t="s">
        <v>172</v>
      </c>
      <c r="T183" s="44"/>
      <c r="U183" s="44"/>
      <c r="V183" s="44"/>
      <c r="W183" s="44"/>
      <c r="X183" s="44"/>
      <c r="Y183" s="44"/>
      <c r="Z183" s="44"/>
      <c r="AA183" s="44"/>
      <c r="AB183" s="225"/>
      <c r="AC183" s="44"/>
      <c r="AD183" s="44"/>
      <c r="AE183" s="44"/>
      <c r="AF183" s="44"/>
      <c r="AG183" s="44"/>
      <c r="AH183" s="44"/>
      <c r="AI183" s="44"/>
      <c r="AJ183" s="44"/>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7" s="31" customFormat="1" ht="15.5" x14ac:dyDescent="0.3">
      <c r="B184" s="9" t="str">
        <f>B143</f>
        <v>Kemikaali-, tuote- tai materiaalilaji 5</v>
      </c>
      <c r="C184" s="34"/>
      <c r="D184" s="84"/>
      <c r="G184" s="72"/>
      <c r="H184" s="84"/>
      <c r="J184" s="33"/>
      <c r="K184" s="34"/>
      <c r="L184" s="34"/>
      <c r="M184" s="84"/>
      <c r="N184" s="84"/>
      <c r="O184" s="100"/>
      <c r="Q184" s="35"/>
      <c r="R184" s="44" t="s">
        <v>350</v>
      </c>
      <c r="S184" s="44"/>
      <c r="T184" s="44"/>
      <c r="U184" s="44"/>
      <c r="V184" s="44"/>
      <c r="W184" s="44"/>
      <c r="X184" s="44"/>
      <c r="Y184" s="44"/>
      <c r="Z184" s="44"/>
      <c r="AA184" s="44"/>
      <c r="AB184" s="225"/>
      <c r="AC184" s="44"/>
      <c r="AD184" s="44"/>
      <c r="AE184" s="44"/>
      <c r="AF184" s="44"/>
      <c r="AG184" s="44"/>
      <c r="AH184" s="44"/>
      <c r="AI184" s="44"/>
      <c r="AJ184" s="44"/>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7" s="31" customFormat="1" ht="15.5" x14ac:dyDescent="0.3">
      <c r="B185" s="54" t="s">
        <v>286</v>
      </c>
      <c r="C185" s="160"/>
      <c r="D185" s="84" t="s">
        <v>281</v>
      </c>
      <c r="G185" s="34"/>
      <c r="H185" s="84"/>
      <c r="J185" s="33"/>
      <c r="K185" s="38" t="s">
        <v>329</v>
      </c>
      <c r="L185" s="38" t="s">
        <v>201</v>
      </c>
      <c r="M185" s="84"/>
      <c r="N185" s="84"/>
      <c r="O185" s="100"/>
      <c r="Q185" s="35"/>
      <c r="R185" s="218" t="str">
        <f>IF(AND(ISNUMBER(G186),ISNUMBER(C185)),SUM(R186,R189:R191),"")</f>
        <v/>
      </c>
      <c r="S185" s="232" t="s">
        <v>172</v>
      </c>
      <c r="T185" s="44"/>
      <c r="U185" s="44"/>
      <c r="V185" s="44"/>
      <c r="W185" s="44"/>
      <c r="X185" s="44"/>
      <c r="Y185" s="44"/>
      <c r="Z185" s="44"/>
      <c r="AA185" s="44"/>
      <c r="AB185" s="225"/>
      <c r="AC185" s="44"/>
      <c r="AD185" s="44"/>
      <c r="AE185" s="44"/>
      <c r="AF185" s="44"/>
      <c r="AG185" s="44"/>
      <c r="AH185" s="44"/>
      <c r="AI185" s="44"/>
      <c r="AJ185" s="44"/>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7" s="31" customFormat="1" ht="46.5" x14ac:dyDescent="0.3">
      <c r="B186" s="155" t="s">
        <v>728</v>
      </c>
      <c r="C186" s="396" t="s">
        <v>283</v>
      </c>
      <c r="D186" s="397"/>
      <c r="G186" s="156"/>
      <c r="H186" s="84" t="s">
        <v>5</v>
      </c>
      <c r="J186" s="173" t="s">
        <v>441</v>
      </c>
      <c r="K186" s="96">
        <f>IF(ISNUMBER(L186),L186,IF(C186=Pudotusvalikot!$N$4,Kalusto!$G$105,IF(C186=Pudotusvalikot!$N$5,Kalusto!$G$106,IF(C186=Pudotusvalikot!$N$6,Kalusto!$G$107,IF(C186=Pudotusvalikot!$N$7,Kalusto!$G$108,Kalusto!$G$105))))*IF(OR(C188=Pudotusvalikot!$V$3,C188=Pudotusvalikot!$V$4),Muut!$E$38,IF(C188=Pudotusvalikot!$V$5,Muut!$E$39,IF(C188=Pudotusvalikot!$V$6,Muut!$E$40,Muut!$E$41))))</f>
        <v>4.9950000000000001E-2</v>
      </c>
      <c r="L186" s="40"/>
      <c r="M186" s="41" t="s">
        <v>200</v>
      </c>
      <c r="N186" s="41"/>
      <c r="O186" s="265"/>
      <c r="Q186" s="35"/>
      <c r="R186" s="218" t="str">
        <f>IF(ISNUMBER(Y187*X187*K186),Y187*X187*K186,"")</f>
        <v/>
      </c>
      <c r="S186" s="232" t="s">
        <v>172</v>
      </c>
      <c r="T186" s="44" t="s">
        <v>446</v>
      </c>
      <c r="U186" s="44" t="s">
        <v>384</v>
      </c>
      <c r="V186" s="44" t="s">
        <v>443</v>
      </c>
      <c r="W186" s="44" t="s">
        <v>444</v>
      </c>
      <c r="X186" s="44" t="s">
        <v>447</v>
      </c>
      <c r="Y186" s="44" t="s">
        <v>449</v>
      </c>
      <c r="Z186" s="44" t="s">
        <v>374</v>
      </c>
      <c r="AA186" s="44"/>
      <c r="AB186" s="225"/>
      <c r="AC186" s="44"/>
      <c r="AD186" s="44"/>
      <c r="AE186" s="44"/>
      <c r="AF186" s="44"/>
      <c r="AG186" s="44"/>
      <c r="AH186" s="44"/>
      <c r="AI186" s="44"/>
      <c r="AJ186" s="44"/>
      <c r="AK186" s="36"/>
      <c r="AL186" s="36"/>
      <c r="AM186" s="36"/>
      <c r="AN186" s="37"/>
      <c r="AO186" s="37"/>
      <c r="AP186" s="37"/>
      <c r="AQ186" s="37"/>
      <c r="AR186" s="37"/>
      <c r="AS186" s="37"/>
      <c r="AT186" s="37"/>
      <c r="AU186" s="37"/>
      <c r="AV186" s="37"/>
      <c r="AW186" s="37"/>
      <c r="AX186" s="37"/>
      <c r="AY186" s="37"/>
      <c r="AZ186" s="37"/>
      <c r="BA186" s="37"/>
      <c r="BB186" s="37"/>
      <c r="BC186" s="37"/>
      <c r="BD186" s="37"/>
      <c r="BE186" s="37"/>
    </row>
    <row r="187" spans="2:57" s="31" customFormat="1" ht="15.5" x14ac:dyDescent="0.3">
      <c r="B187" s="78" t="s">
        <v>377</v>
      </c>
      <c r="C187" s="392" t="s">
        <v>93</v>
      </c>
      <c r="D187" s="393"/>
      <c r="E187" s="393"/>
      <c r="F187" s="393"/>
      <c r="G187" s="394"/>
      <c r="J187" s="33"/>
      <c r="K187" s="38" t="s">
        <v>329</v>
      </c>
      <c r="L187" s="38" t="s">
        <v>201</v>
      </c>
      <c r="M187" s="41"/>
      <c r="N187" s="41"/>
      <c r="O187" s="265"/>
      <c r="Q187" s="47"/>
      <c r="R187" s="225"/>
      <c r="S187" s="44"/>
      <c r="T187" s="216" t="str">
        <f>IF(ISNUMBER(L186),"Kohdetieto",IF(OR(C187=Pudotusvalikot!$D$14,C187=Pudotusvalikot!$D$15),Kalusto!$I$96,VLOOKUP(C187,Kalusto!$C$44:$L$83,7,FALSE)))</f>
        <v>Puoliperävaunu</v>
      </c>
      <c r="U187" s="216">
        <f>IF(ISNUMBER(L186),"Kohdetieto",IF(OR(C187=Pudotusvalikot!$D$14,C187=Pudotusvalikot!$D$15),Kalusto!$J$96,VLOOKUP(C187,Kalusto!$C$44:$L$83,8,FALSE)))</f>
        <v>40</v>
      </c>
      <c r="V187" s="217">
        <f>IF(ISNUMBER(L186),"Kohdetieto",IF(OR(C187=Pudotusvalikot!$D$14,C187=Pudotusvalikot!$D$15),Kalusto!$K$96,VLOOKUP(C187,Kalusto!$C$44:$L$83,9,FALSE)))</f>
        <v>0.8</v>
      </c>
      <c r="W187" s="217" t="str">
        <f>IF(ISNUMBER(L186),"Kohdetieto",IF(OR(C187=Pudotusvalikot!$D$14,C187=Pudotusvalikot!$D$15),Kalusto!$L$96,VLOOKUP(C187,Kalusto!$C$44:$L$83,10,FALSE)))</f>
        <v>maantieajo</v>
      </c>
      <c r="X187" s="218" t="str">
        <f>IF(ISBLANK(C185),"",C185/1000)</f>
        <v/>
      </c>
      <c r="Y187" s="216" t="str">
        <f>IF(ISNUMBER(G186),G186,"")</f>
        <v/>
      </c>
      <c r="Z187" s="219">
        <f>IF(ISNUMBER(L186),L186,K186)</f>
        <v>4.9950000000000001E-2</v>
      </c>
      <c r="AA187" s="44"/>
      <c r="AB187" s="225"/>
      <c r="AC187" s="44"/>
      <c r="AD187" s="44"/>
      <c r="AE187" s="44"/>
      <c r="AF187" s="44"/>
      <c r="AG187" s="44"/>
      <c r="AH187" s="44"/>
      <c r="AI187" s="44"/>
      <c r="AJ187" s="44"/>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7" s="31" customFormat="1" ht="15.5" x14ac:dyDescent="0.3">
      <c r="B188" s="78" t="s">
        <v>506</v>
      </c>
      <c r="C188" s="160" t="s">
        <v>242</v>
      </c>
      <c r="D188" s="34"/>
      <c r="E188" s="34"/>
      <c r="F188" s="34"/>
      <c r="G188" s="34"/>
      <c r="H188" s="59"/>
      <c r="J188" s="173"/>
      <c r="K188" s="173"/>
      <c r="L188" s="173"/>
      <c r="M188" s="41"/>
      <c r="N188" s="41"/>
      <c r="O188" s="265"/>
      <c r="Q188" s="47"/>
      <c r="R188" s="44"/>
      <c r="S188" s="44"/>
      <c r="T188" s="44"/>
      <c r="U188" s="44"/>
      <c r="V188" s="220"/>
      <c r="W188" s="220"/>
      <c r="X188" s="221"/>
      <c r="Y188" s="44"/>
      <c r="Z188" s="221"/>
      <c r="AA188" s="222"/>
      <c r="AB188" s="221"/>
      <c r="AC188" s="221"/>
      <c r="AD188" s="221"/>
      <c r="AE188" s="221"/>
      <c r="AF188" s="222"/>
      <c r="AG188" s="221"/>
      <c r="AH188" s="44"/>
      <c r="AI188" s="44"/>
      <c r="AJ188" s="44"/>
      <c r="AK188" s="108"/>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7" s="31" customFormat="1" ht="15.5" x14ac:dyDescent="0.3">
      <c r="B189" s="155" t="s">
        <v>543</v>
      </c>
      <c r="C189" s="395" t="s">
        <v>283</v>
      </c>
      <c r="D189" s="395"/>
      <c r="G189" s="156"/>
      <c r="H189" s="84" t="s">
        <v>5</v>
      </c>
      <c r="J189" s="33" t="str">
        <f>IF(C189="Kuljetus","Ei oletusta","Oletus (" &amp; IF(C189="Tiekuljetus",Kalusto!$C$105,IF(C189="Raidekuljetus",Kalusto!$C$106,IF(C189="Laivarahti",Kalusto!$C$107,Kalusto!$C$108))) &amp; ")" )</f>
        <v>Oletus (Puoliperävaunuyhdistelmä, 40 t, 100 % kuorma, maantieajo)</v>
      </c>
      <c r="K189" s="96">
        <f>IF(ISNUMBER(L189),L189,IF(C189=Pudotusvalikot!$N$4,Kalusto!$G$105,IF(C189=Pudotusvalikot!$N$5,Kalusto!$G$106,IF(C189=Pudotusvalikot!$N$6,Kalusto!$G$107,IF(C189=Pudotusvalikot!$N$7,Kalusto!$G$108,Kalusto!$G$105)))))</f>
        <v>4.9950000000000001E-2</v>
      </c>
      <c r="L189" s="40"/>
      <c r="M189" s="41" t="s">
        <v>200</v>
      </c>
      <c r="N189" s="41"/>
      <c r="O189" s="265"/>
      <c r="Q189" s="35"/>
      <c r="R189" s="218" t="str">
        <f>IF(AND(ISNUMBER(G187)*ISNUMBER(C185)),K189*G189*C185,"")</f>
        <v/>
      </c>
      <c r="S189" s="232" t="s">
        <v>172</v>
      </c>
      <c r="T189" s="225"/>
      <c r="U189" s="44"/>
      <c r="V189" s="44"/>
      <c r="W189" s="44"/>
      <c r="X189" s="44"/>
      <c r="Y189" s="44"/>
      <c r="Z189" s="44"/>
      <c r="AA189" s="44"/>
      <c r="AB189" s="44"/>
      <c r="AC189" s="44"/>
      <c r="AD189" s="44"/>
      <c r="AE189" s="44"/>
      <c r="AF189" s="44"/>
      <c r="AG189" s="44"/>
      <c r="AH189" s="44"/>
      <c r="AI189" s="44"/>
      <c r="AJ189" s="44"/>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7" s="31" customFormat="1" ht="15.5" x14ac:dyDescent="0.3">
      <c r="B190" s="155" t="s">
        <v>543</v>
      </c>
      <c r="C190" s="395" t="s">
        <v>284</v>
      </c>
      <c r="D190" s="395"/>
      <c r="G190" s="156"/>
      <c r="H190" s="84" t="s">
        <v>5</v>
      </c>
      <c r="J190" s="33" t="str">
        <f>IF(C190="Kuljetus","Ei oletusta","Oletus (" &amp; IF(C190="Tiekuljetus",Kalusto!$C$105,IF(C190="Raidekuljetus",Kalusto!$C$106,IF(C190="Laivarahti",Kalusto!$C$107,Kalusto!$C$108))) &amp; ")" )</f>
        <v>Oletus (Merikuljetus, konttilaiva, 1000 TEU)</v>
      </c>
      <c r="K190" s="96">
        <f>IF(ISNUMBER(L190),L190,IF(C190=Pudotusvalikot!$N$4,Kalusto!$G$105,IF(C190=Pudotusvalikot!$N$5,Kalusto!$G$106,IF(C190=Pudotusvalikot!$N$6,Kalusto!$G$107,IF(C190=Pudotusvalikot!$N$7,Kalusto!$G$108,"--")))))</f>
        <v>4.4999999999999998E-2</v>
      </c>
      <c r="L190" s="40"/>
      <c r="M190" s="41" t="s">
        <v>200</v>
      </c>
      <c r="N190" s="41"/>
      <c r="O190" s="265"/>
      <c r="Q190" s="35"/>
      <c r="R190" s="218" t="str">
        <f>IF(AND(ISNUMBER(G187)*ISNUMBER(C185)),K190*G190*C185,"")</f>
        <v/>
      </c>
      <c r="S190" s="232" t="s">
        <v>172</v>
      </c>
      <c r="T190" s="225"/>
      <c r="U190" s="44"/>
      <c r="V190" s="44"/>
      <c r="W190" s="44"/>
      <c r="X190" s="44"/>
      <c r="Y190" s="44"/>
      <c r="Z190" s="44"/>
      <c r="AA190" s="44"/>
      <c r="AB190" s="44"/>
      <c r="AC190" s="44"/>
      <c r="AD190" s="44"/>
      <c r="AE190" s="44"/>
      <c r="AF190" s="44"/>
      <c r="AG190" s="44"/>
      <c r="AH190" s="44"/>
      <c r="AI190" s="44"/>
      <c r="AJ190" s="44"/>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7" s="31" customFormat="1" ht="15.5" x14ac:dyDescent="0.3">
      <c r="B191" s="155" t="s">
        <v>543</v>
      </c>
      <c r="C191" s="395" t="s">
        <v>283</v>
      </c>
      <c r="D191" s="395"/>
      <c r="G191" s="156"/>
      <c r="H191" s="84" t="s">
        <v>5</v>
      </c>
      <c r="J191" s="33" t="str">
        <f>IF(C191="Kuljetus","Ei oletusta","Oletus (" &amp; IF(C191="Tiekuljetus",Kalusto!$C$105,IF(C191="Raidekuljetus",Kalusto!$C$106,IF(C191="Laivarahti",Kalusto!$C$107,Kalusto!$C$108))) &amp; ")" )</f>
        <v>Oletus (Puoliperävaunuyhdistelmä, 40 t, 100 % kuorma, maantieajo)</v>
      </c>
      <c r="K191" s="96">
        <f>IF(ISNUMBER(L191),L191,IF(C191=Pudotusvalikot!$N$4,Kalusto!$G$105,IF(C191=Pudotusvalikot!$N$5,Kalusto!$G$106,IF(C191=Pudotusvalikot!$N$6,Kalusto!$G$107,IF(C191=Pudotusvalikot!$N$7,Kalusto!$G$108,"--")))))</f>
        <v>4.9950000000000001E-2</v>
      </c>
      <c r="L191" s="40"/>
      <c r="M191" s="41" t="s">
        <v>200</v>
      </c>
      <c r="N191" s="41"/>
      <c r="O191" s="265"/>
      <c r="Q191" s="35"/>
      <c r="R191" s="218" t="str">
        <f>IF(AND(ISNUMBER(G187)*ISNUMBER(C185)),K191*G191*C185,"")</f>
        <v/>
      </c>
      <c r="S191" s="232" t="s">
        <v>172</v>
      </c>
      <c r="T191" s="225"/>
      <c r="U191" s="44"/>
      <c r="V191" s="44"/>
      <c r="W191" s="44"/>
      <c r="X191" s="44"/>
      <c r="Y191" s="44"/>
      <c r="Z191" s="44"/>
      <c r="AA191" s="44"/>
      <c r="AB191" s="44"/>
      <c r="AC191" s="44"/>
      <c r="AD191" s="44"/>
      <c r="AE191" s="44"/>
      <c r="AF191" s="44"/>
      <c r="AG191" s="44"/>
      <c r="AH191" s="44"/>
      <c r="AI191" s="44"/>
      <c r="AJ191" s="44"/>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7" s="31" customFormat="1" ht="15.5" x14ac:dyDescent="0.3">
      <c r="C192" s="34"/>
      <c r="D192" s="84"/>
      <c r="G192" s="34"/>
      <c r="H192" s="84"/>
      <c r="J192" s="33"/>
      <c r="K192" s="34"/>
      <c r="L192" s="34"/>
      <c r="M192" s="84"/>
      <c r="N192" s="84"/>
      <c r="O192" s="84"/>
      <c r="Q192" s="35"/>
      <c r="R192" s="106"/>
      <c r="S192" s="44"/>
      <c r="T192" s="44"/>
      <c r="U192" s="44"/>
      <c r="V192" s="44"/>
      <c r="W192" s="44"/>
      <c r="X192" s="44"/>
      <c r="Y192" s="44"/>
      <c r="Z192" s="44"/>
      <c r="AA192" s="44"/>
      <c r="AB192" s="44"/>
      <c r="AC192" s="44"/>
      <c r="AD192" s="44"/>
      <c r="AE192" s="44"/>
      <c r="AF192" s="44"/>
      <c r="AG192" s="44"/>
      <c r="AH192" s="44"/>
      <c r="AI192" s="44"/>
      <c r="AJ192" s="44"/>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298" customFormat="1" ht="18" x14ac:dyDescent="0.3">
      <c r="B193" s="295" t="s">
        <v>323</v>
      </c>
      <c r="C193" s="296"/>
      <c r="D193" s="297"/>
      <c r="G193" s="296"/>
      <c r="H193" s="297"/>
      <c r="K193" s="296"/>
      <c r="L193" s="296"/>
      <c r="M193" s="297"/>
      <c r="N193" s="297"/>
      <c r="O193" s="300"/>
      <c r="P193" s="320"/>
      <c r="Q193" s="304"/>
      <c r="S193" s="303"/>
      <c r="T193" s="303"/>
      <c r="U193" s="303"/>
      <c r="V193" s="303"/>
      <c r="W193" s="303"/>
      <c r="X193" s="303"/>
      <c r="Y193" s="303"/>
      <c r="Z193" s="303"/>
      <c r="AA193" s="303"/>
      <c r="AB193" s="303"/>
      <c r="AC193" s="303"/>
      <c r="AD193" s="303"/>
      <c r="AE193" s="303"/>
      <c r="AF193" s="303"/>
      <c r="AG193" s="303"/>
      <c r="AH193" s="303"/>
      <c r="AI193" s="303"/>
      <c r="AJ193" s="303"/>
      <c r="AK193" s="303"/>
      <c r="AL193" s="303"/>
      <c r="AM193" s="303"/>
      <c r="AN193" s="304"/>
      <c r="AO193" s="304"/>
      <c r="AP193" s="304"/>
      <c r="AQ193" s="304"/>
      <c r="AR193" s="304"/>
      <c r="AS193" s="304"/>
      <c r="AT193" s="304"/>
      <c r="AU193" s="304"/>
      <c r="AV193" s="304"/>
      <c r="AW193" s="304"/>
      <c r="AX193" s="304"/>
      <c r="AY193" s="304"/>
      <c r="AZ193" s="304"/>
      <c r="BA193" s="304"/>
      <c r="BB193" s="304"/>
      <c r="BC193" s="304"/>
      <c r="BD193" s="304"/>
      <c r="BE193" s="304"/>
    </row>
    <row r="194" spans="2:59" s="31" customFormat="1" ht="15.5" x14ac:dyDescent="0.3">
      <c r="B194" s="9"/>
      <c r="C194" s="34"/>
      <c r="D194" s="84"/>
      <c r="G194" s="34"/>
      <c r="H194" s="84"/>
      <c r="J194" s="33"/>
      <c r="K194" s="38" t="s">
        <v>329</v>
      </c>
      <c r="L194" s="38" t="s">
        <v>201</v>
      </c>
      <c r="M194" s="86"/>
      <c r="N194" s="86"/>
      <c r="O194" s="255" t="s">
        <v>644</v>
      </c>
      <c r="Q194" s="133"/>
      <c r="R194" s="44" t="s">
        <v>350</v>
      </c>
      <c r="S194" s="44"/>
      <c r="T194" s="174"/>
      <c r="U194" s="44"/>
      <c r="V194" s="44"/>
      <c r="W194" s="44"/>
      <c r="X194" s="44"/>
      <c r="Y194" s="44"/>
      <c r="Z194" s="44"/>
      <c r="AA194" s="44"/>
      <c r="AB194" s="44"/>
      <c r="AC194" s="44"/>
      <c r="AD194" s="44"/>
      <c r="AE194" s="44"/>
      <c r="AF194" s="44"/>
      <c r="AG194" s="44"/>
      <c r="AH194" s="44"/>
      <c r="AI194" s="44"/>
      <c r="AJ194" s="44"/>
      <c r="AK194" s="36"/>
      <c r="AL194" s="36"/>
      <c r="AM194" s="36"/>
      <c r="AN194" s="36"/>
      <c r="AO194" s="36"/>
      <c r="AP194" s="37"/>
      <c r="AQ194" s="37"/>
      <c r="AR194" s="37"/>
      <c r="AS194" s="37"/>
      <c r="AT194" s="37"/>
      <c r="AU194" s="37"/>
      <c r="AV194" s="37"/>
      <c r="AW194" s="37"/>
      <c r="AX194" s="37"/>
      <c r="AY194" s="37"/>
      <c r="AZ194" s="37"/>
      <c r="BA194" s="37"/>
      <c r="BB194" s="37"/>
      <c r="BC194" s="37"/>
      <c r="BD194" s="37"/>
      <c r="BE194" s="37"/>
      <c r="BF194" s="37"/>
      <c r="BG194" s="37"/>
    </row>
    <row r="195" spans="2:59" s="31" customFormat="1" ht="31" x14ac:dyDescent="0.3">
      <c r="B195" s="78" t="s">
        <v>601</v>
      </c>
      <c r="C195" s="392" t="s">
        <v>314</v>
      </c>
      <c r="D195" s="394"/>
      <c r="E195" s="34"/>
      <c r="G195" s="34"/>
      <c r="H195" s="84"/>
      <c r="J195" s="33" t="s">
        <v>534</v>
      </c>
      <c r="K195" s="138">
        <f>IF(ISNUMBER(L195),L195,Muut!$H$10)</f>
        <v>60</v>
      </c>
      <c r="L195" s="73"/>
      <c r="M195" s="86" t="s">
        <v>535</v>
      </c>
      <c r="N195" s="86"/>
      <c r="O195" s="256"/>
      <c r="Q195" s="133"/>
      <c r="R195" s="242" t="str">
        <f>IF(ISNUMBER(R199),R199,IF(ISNUMBER(R201),R201,""))</f>
        <v/>
      </c>
      <c r="S195" s="232" t="s">
        <v>172</v>
      </c>
      <c r="T195" s="44"/>
      <c r="U195" s="44"/>
      <c r="V195" s="44"/>
      <c r="W195" s="44"/>
      <c r="X195" s="44"/>
      <c r="Y195" s="44"/>
      <c r="Z195" s="44"/>
      <c r="AA195" s="44"/>
      <c r="AB195" s="44"/>
      <c r="AC195" s="44"/>
      <c r="AD195" s="44"/>
      <c r="AE195" s="44"/>
      <c r="AF195" s="44"/>
      <c r="AG195" s="44"/>
      <c r="AH195" s="44"/>
      <c r="AI195" s="44"/>
      <c r="AJ195" s="44"/>
      <c r="AK195" s="36"/>
      <c r="AL195" s="36"/>
      <c r="AM195" s="36"/>
      <c r="AN195" s="36"/>
      <c r="AO195" s="36"/>
      <c r="AP195" s="37"/>
      <c r="AQ195" s="37"/>
      <c r="AR195" s="37"/>
      <c r="AS195" s="37"/>
      <c r="AT195" s="37"/>
      <c r="AU195" s="37"/>
      <c r="AV195" s="37"/>
      <c r="AW195" s="37"/>
      <c r="AX195" s="37"/>
      <c r="AY195" s="37"/>
      <c r="AZ195" s="37"/>
      <c r="BA195" s="37"/>
      <c r="BB195" s="37"/>
      <c r="BC195" s="37"/>
      <c r="BD195" s="37"/>
      <c r="BE195" s="37"/>
      <c r="BF195" s="37"/>
      <c r="BG195" s="37"/>
    </row>
    <row r="196" spans="2:59" s="31" customFormat="1" ht="15.5" x14ac:dyDescent="0.3">
      <c r="B196" s="170" t="s">
        <v>536</v>
      </c>
      <c r="C196" s="160"/>
      <c r="D196" s="84" t="s">
        <v>8</v>
      </c>
      <c r="G196" s="34"/>
      <c r="H196" s="84"/>
      <c r="J196" s="33" t="s">
        <v>537</v>
      </c>
      <c r="K196" s="96">
        <f>IF(ISNUMBER(L196),L196,IF(OR(C195="Bensiini",C195="Diesel"),Muut!$H$34,Muut!$H$35))</f>
        <v>0.95</v>
      </c>
      <c r="L196" s="175" t="str">
        <f>IF(ISNUMBER(C196),C196,"--")</f>
        <v>--</v>
      </c>
      <c r="M196" s="86"/>
      <c r="N196" s="86"/>
      <c r="O196" s="266"/>
      <c r="Q196" s="35"/>
      <c r="R196" s="221"/>
      <c r="S196" s="232"/>
      <c r="T196" s="44"/>
      <c r="U196" s="44"/>
      <c r="V196" s="44"/>
      <c r="W196" s="44"/>
      <c r="X196" s="44"/>
      <c r="Y196" s="44"/>
      <c r="Z196" s="44"/>
      <c r="AA196" s="44"/>
      <c r="AB196" s="44"/>
      <c r="AC196" s="44"/>
      <c r="AD196" s="44"/>
      <c r="AE196" s="44"/>
      <c r="AF196" s="44"/>
      <c r="AG196" s="44"/>
      <c r="AH196" s="44"/>
      <c r="AI196" s="44"/>
      <c r="AJ196" s="44"/>
      <c r="AK196" s="36"/>
      <c r="AL196" s="36"/>
      <c r="AM196" s="36"/>
      <c r="AN196" s="37"/>
      <c r="AO196" s="37"/>
      <c r="AP196" s="37"/>
      <c r="AQ196" s="37"/>
      <c r="AR196" s="37"/>
      <c r="AS196" s="37"/>
      <c r="AT196" s="37"/>
      <c r="AU196" s="37"/>
      <c r="AV196" s="37"/>
      <c r="AW196" s="37"/>
      <c r="AX196" s="37"/>
      <c r="AY196" s="37"/>
      <c r="AZ196" s="37"/>
      <c r="BA196" s="37"/>
      <c r="BB196" s="37"/>
      <c r="BC196" s="37"/>
      <c r="BD196" s="37"/>
      <c r="BE196" s="37"/>
    </row>
    <row r="197" spans="2:59" s="31" customFormat="1" ht="15.5" x14ac:dyDescent="0.3">
      <c r="B197" s="54" t="s">
        <v>315</v>
      </c>
      <c r="C197" s="160"/>
      <c r="D197" s="89" t="s">
        <v>301</v>
      </c>
      <c r="E197" s="79"/>
      <c r="G197" s="79"/>
      <c r="H197" s="84"/>
      <c r="M197" s="84"/>
      <c r="N197" s="84"/>
      <c r="O197" s="100"/>
      <c r="Q197" s="133"/>
      <c r="R197" s="106"/>
      <c r="S197" s="44"/>
      <c r="T197" s="44"/>
      <c r="U197" s="44"/>
      <c r="V197" s="44"/>
      <c r="W197" s="44"/>
      <c r="X197" s="44"/>
      <c r="Y197" s="44"/>
      <c r="Z197" s="44"/>
      <c r="AA197" s="44"/>
      <c r="AB197" s="44"/>
      <c r="AC197" s="44"/>
      <c r="AD197" s="44"/>
      <c r="AE197" s="44"/>
      <c r="AF197" s="44"/>
      <c r="AG197" s="44"/>
      <c r="AH197" s="44"/>
      <c r="AI197" s="44"/>
      <c r="AJ197" s="44"/>
      <c r="AK197" s="36"/>
      <c r="AL197" s="36"/>
      <c r="AM197" s="36"/>
      <c r="AN197" s="36"/>
      <c r="AO197" s="36"/>
      <c r="AP197" s="37"/>
      <c r="AQ197" s="37"/>
      <c r="AR197" s="37"/>
      <c r="AS197" s="37"/>
      <c r="AT197" s="37"/>
      <c r="AU197" s="37"/>
      <c r="AV197" s="37"/>
      <c r="AW197" s="37"/>
      <c r="AX197" s="37"/>
      <c r="AY197" s="37"/>
      <c r="AZ197" s="37"/>
      <c r="BA197" s="37"/>
      <c r="BB197" s="37"/>
      <c r="BC197" s="37"/>
      <c r="BD197" s="37"/>
      <c r="BE197" s="37"/>
      <c r="BF197" s="37"/>
      <c r="BG197" s="37"/>
    </row>
    <row r="198" spans="2:59" s="31" customFormat="1" ht="15.5" x14ac:dyDescent="0.3">
      <c r="B198" s="54" t="s">
        <v>600</v>
      </c>
      <c r="C198" s="34"/>
      <c r="D198" s="84"/>
      <c r="G198" s="34"/>
      <c r="H198" s="84"/>
      <c r="J198" s="33"/>
      <c r="K198" s="38"/>
      <c r="L198" s="38"/>
      <c r="M198" s="84"/>
      <c r="N198" s="84"/>
      <c r="O198" s="100"/>
      <c r="Q198" s="133"/>
      <c r="R198" s="44" t="s">
        <v>350</v>
      </c>
      <c r="S198" s="44"/>
      <c r="T198" s="44" t="s">
        <v>184</v>
      </c>
      <c r="U198" s="44"/>
      <c r="V198" s="225"/>
      <c r="W198" s="225"/>
      <c r="X198" s="44"/>
      <c r="Y198" s="44"/>
      <c r="Z198" s="44"/>
      <c r="AA198" s="44"/>
      <c r="AB198" s="44"/>
      <c r="AC198" s="44"/>
      <c r="AD198" s="44"/>
      <c r="AE198" s="44"/>
      <c r="AF198" s="44"/>
      <c r="AG198" s="44"/>
      <c r="AH198" s="44"/>
      <c r="AI198" s="44"/>
      <c r="AJ198" s="44"/>
      <c r="AK198" s="36"/>
      <c r="AL198" s="36"/>
      <c r="AM198" s="36"/>
      <c r="AN198" s="36"/>
      <c r="AO198" s="36"/>
      <c r="AP198" s="37"/>
      <c r="AQ198" s="37"/>
      <c r="AR198" s="37"/>
      <c r="AS198" s="37"/>
      <c r="AT198" s="37"/>
      <c r="AU198" s="37"/>
      <c r="AV198" s="37"/>
      <c r="AW198" s="37"/>
      <c r="AX198" s="37"/>
      <c r="AY198" s="37"/>
      <c r="AZ198" s="37"/>
      <c r="BA198" s="37"/>
      <c r="BB198" s="37"/>
      <c r="BC198" s="37"/>
      <c r="BD198" s="37"/>
      <c r="BE198" s="37"/>
      <c r="BF198" s="37"/>
      <c r="BG198" s="37"/>
    </row>
    <row r="199" spans="2:59" s="31" customFormat="1" ht="31" x14ac:dyDescent="0.3">
      <c r="B199" s="170" t="s">
        <v>605</v>
      </c>
      <c r="C199" s="156"/>
      <c r="D199" s="84" t="s">
        <v>296</v>
      </c>
      <c r="E199" s="34"/>
      <c r="G199" s="34"/>
      <c r="H199" s="84"/>
      <c r="M199" s="84"/>
      <c r="N199" s="84"/>
      <c r="O199" s="100"/>
      <c r="Q199" s="133"/>
      <c r="R199" s="242" t="str">
        <f>IF(ISNUMBER(C199),IF(AND(ISNUMBER(C197),C195="Aggregaatti"),C197*IF(D197="vuosi",365*24,IF(D197="kuukausi",30*24,IF(D197="päivä",24,1)))*Kalusto!$E$23,C199*T199),"")</f>
        <v/>
      </c>
      <c r="S199" s="232" t="s">
        <v>172</v>
      </c>
      <c r="T199" s="229" t="str">
        <f>IF(ISNUMBER(C199),IF(C195="Ostosähkö", (K195+Muut!$H$12)/1000,IF(C195="Aurinkopaneelit",(Muut!$H$24+Muut!$H$25)/1000,IF(OR(C195="Bensiini",C195="Diesel"),(Muut!$H$15+Muut!$H$14+Muut!$H$17+Muut!$H$18)/2,"Aggregaatin kerroin"))),"")</f>
        <v/>
      </c>
      <c r="U199" s="44"/>
      <c r="V199" s="225"/>
      <c r="W199" s="225"/>
      <c r="X199" s="44"/>
      <c r="Y199" s="44"/>
      <c r="Z199" s="44"/>
      <c r="AA199" s="44"/>
      <c r="AB199" s="44"/>
      <c r="AC199" s="44"/>
      <c r="AD199" s="44"/>
      <c r="AE199" s="44"/>
      <c r="AF199" s="44"/>
      <c r="AG199" s="44"/>
      <c r="AH199" s="44"/>
      <c r="AI199" s="44"/>
      <c r="AJ199" s="44"/>
      <c r="AK199" s="36"/>
      <c r="AL199" s="36"/>
      <c r="AM199" s="36"/>
      <c r="AN199" s="36"/>
      <c r="AO199" s="36"/>
      <c r="AP199" s="37"/>
      <c r="AQ199" s="37"/>
      <c r="AR199" s="37"/>
      <c r="AS199" s="37"/>
      <c r="AT199" s="37"/>
      <c r="AU199" s="37"/>
      <c r="AV199" s="37"/>
      <c r="AW199" s="37"/>
      <c r="AX199" s="37"/>
      <c r="AY199" s="37"/>
      <c r="AZ199" s="37"/>
      <c r="BA199" s="37"/>
      <c r="BB199" s="37"/>
      <c r="BC199" s="37"/>
      <c r="BD199" s="37"/>
      <c r="BE199" s="37"/>
      <c r="BF199" s="37"/>
      <c r="BG199" s="37"/>
    </row>
    <row r="200" spans="2:59" s="31" customFormat="1" ht="15.5" x14ac:dyDescent="0.3">
      <c r="B200" s="54" t="s">
        <v>604</v>
      </c>
      <c r="C200" s="34"/>
      <c r="D200" s="84"/>
      <c r="G200" s="79"/>
      <c r="H200" s="84"/>
      <c r="M200" s="84"/>
      <c r="N200" s="84"/>
      <c r="O200" s="100"/>
      <c r="Q200" s="133"/>
      <c r="R200" s="44" t="s">
        <v>350</v>
      </c>
      <c r="S200" s="44"/>
      <c r="T200" s="44" t="s">
        <v>184</v>
      </c>
      <c r="U200" s="44"/>
      <c r="V200" s="225"/>
      <c r="W200" s="225"/>
      <c r="X200" s="44"/>
      <c r="Y200" s="44"/>
      <c r="Z200" s="44"/>
      <c r="AA200" s="44"/>
      <c r="AB200" s="44"/>
      <c r="AC200" s="44"/>
      <c r="AD200" s="44"/>
      <c r="AE200" s="44"/>
      <c r="AF200" s="44"/>
      <c r="AG200" s="44"/>
      <c r="AH200" s="44"/>
      <c r="AI200" s="44"/>
      <c r="AJ200" s="44"/>
      <c r="AK200" s="36"/>
      <c r="AL200" s="36"/>
      <c r="AM200" s="36"/>
      <c r="AN200" s="36"/>
      <c r="AO200" s="36"/>
      <c r="AP200" s="37"/>
      <c r="AQ200" s="37"/>
      <c r="AR200" s="37"/>
      <c r="AS200" s="37"/>
      <c r="AT200" s="37"/>
      <c r="AU200" s="37"/>
      <c r="AV200" s="37"/>
      <c r="AW200" s="37"/>
      <c r="AX200" s="37"/>
      <c r="AY200" s="37"/>
      <c r="AZ200" s="37"/>
      <c r="BA200" s="37"/>
      <c r="BB200" s="37"/>
      <c r="BC200" s="37"/>
      <c r="BD200" s="37"/>
      <c r="BE200" s="37"/>
      <c r="BF200" s="37"/>
      <c r="BG200" s="37"/>
    </row>
    <row r="201" spans="2:59" s="31" customFormat="1" ht="15.5" x14ac:dyDescent="0.3">
      <c r="B201" s="45" t="s">
        <v>603</v>
      </c>
      <c r="C201" s="160"/>
      <c r="D201" s="84" t="s">
        <v>211</v>
      </c>
      <c r="G201" s="79"/>
      <c r="H201" s="84"/>
      <c r="M201" s="84"/>
      <c r="N201" s="84"/>
      <c r="O201" s="100"/>
      <c r="Q201" s="133"/>
      <c r="R201" s="242" t="str">
        <f>IF(ISNUMBER(C201),IF(AND(ISNUMBER(C197),C195="Aggregaatti"),C199*IF(D197="vuosi",365*24,IF(D197="kuukausi",30*24,IF(D197="päivä",24,1)))*Kalusto!$E$23,IF(D197="vuosi",365*24,IF(D197="kuukausi",30*24,IF(D197="päivä",24,1)))*C201*T201/K196),"")</f>
        <v/>
      </c>
      <c r="S201" s="232" t="s">
        <v>172</v>
      </c>
      <c r="T201" s="229" t="str">
        <f>IF(ISNUMBER(C201),IF(C195="Ostosähkö", (K195+Muut!$H$12)/1000/K196,IF(C195="Aurinkopaneelit",(Muut!$H$24+Muut!$H$25)/1000,IF(OR(C195="Bensiini",C195="Diesel"),(Muut!$H$15+Muut!$H$14+Muut!$H$17+Muut!$H$18)/2/K196,"Aggregaatin kerroin"))),"")</f>
        <v/>
      </c>
      <c r="U201" s="44"/>
      <c r="V201" s="225"/>
      <c r="W201" s="225"/>
      <c r="X201" s="44"/>
      <c r="Y201" s="44"/>
      <c r="Z201" s="44"/>
      <c r="AA201" s="44"/>
      <c r="AB201" s="44"/>
      <c r="AC201" s="44"/>
      <c r="AD201" s="44"/>
      <c r="AE201" s="44"/>
      <c r="AF201" s="44"/>
      <c r="AG201" s="44"/>
      <c r="AH201" s="44"/>
      <c r="AI201" s="44"/>
      <c r="AJ201" s="44"/>
      <c r="AK201" s="36"/>
      <c r="AL201" s="36"/>
      <c r="AM201" s="36"/>
      <c r="AN201" s="36"/>
      <c r="AO201" s="36"/>
      <c r="AP201" s="37"/>
      <c r="AQ201" s="37"/>
      <c r="AR201" s="37"/>
      <c r="AS201" s="37"/>
      <c r="AT201" s="37"/>
      <c r="AU201" s="37"/>
      <c r="AV201" s="37"/>
      <c r="AW201" s="37"/>
      <c r="AX201" s="37"/>
      <c r="AY201" s="37"/>
      <c r="AZ201" s="37"/>
      <c r="BA201" s="37"/>
      <c r="BB201" s="37"/>
      <c r="BC201" s="37"/>
      <c r="BD201" s="37"/>
      <c r="BE201" s="37"/>
      <c r="BF201" s="37"/>
      <c r="BG201" s="37"/>
    </row>
    <row r="202" spans="2:59" s="31" customFormat="1" ht="15.5" x14ac:dyDescent="0.3">
      <c r="D202" s="84"/>
      <c r="H202" s="84"/>
      <c r="M202" s="84"/>
      <c r="N202" s="84"/>
      <c r="O202" s="84"/>
      <c r="Q202" s="133"/>
      <c r="R202" s="243"/>
      <c r="S202" s="225"/>
      <c r="T202" s="174"/>
      <c r="U202" s="44"/>
      <c r="V202" s="44"/>
      <c r="W202" s="44"/>
      <c r="X202" s="44"/>
      <c r="Y202" s="44"/>
      <c r="Z202" s="44"/>
      <c r="AA202" s="44"/>
      <c r="AB202" s="44"/>
      <c r="AC202" s="44"/>
      <c r="AD202" s="44"/>
      <c r="AE202" s="44"/>
      <c r="AF202" s="44"/>
      <c r="AG202" s="44"/>
      <c r="AH202" s="44"/>
      <c r="AI202" s="44"/>
      <c r="AJ202" s="44"/>
      <c r="AK202" s="36"/>
      <c r="AL202" s="36"/>
      <c r="AM202" s="36"/>
      <c r="AN202" s="36"/>
      <c r="AO202" s="36"/>
      <c r="AP202" s="37"/>
      <c r="AQ202" s="37"/>
      <c r="AR202" s="37"/>
      <c r="AS202" s="37"/>
      <c r="AT202" s="37"/>
      <c r="AU202" s="37"/>
      <c r="AV202" s="37"/>
      <c r="AW202" s="37"/>
      <c r="AX202" s="37"/>
      <c r="AY202" s="37"/>
      <c r="AZ202" s="37"/>
      <c r="BA202" s="37"/>
      <c r="BB202" s="37"/>
      <c r="BC202" s="37"/>
      <c r="BD202" s="37"/>
      <c r="BE202" s="37"/>
      <c r="BF202" s="37"/>
      <c r="BG202" s="37"/>
    </row>
    <row r="203" spans="2:59" s="298" customFormat="1" ht="18" x14ac:dyDescent="0.3">
      <c r="B203" s="295" t="s">
        <v>325</v>
      </c>
      <c r="C203" s="296"/>
      <c r="D203" s="297"/>
      <c r="G203" s="296"/>
      <c r="H203" s="297"/>
      <c r="K203" s="296"/>
      <c r="L203" s="296"/>
      <c r="M203" s="297"/>
      <c r="N203" s="297"/>
      <c r="O203" s="300"/>
      <c r="P203" s="320"/>
      <c r="Q203" s="304"/>
      <c r="S203" s="303"/>
      <c r="T203" s="303"/>
      <c r="U203" s="303"/>
      <c r="V203" s="303"/>
      <c r="W203" s="303"/>
      <c r="X203" s="303"/>
      <c r="Y203" s="303"/>
      <c r="Z203" s="303"/>
      <c r="AA203" s="303"/>
      <c r="AB203" s="303"/>
      <c r="AC203" s="303"/>
      <c r="AD203" s="303"/>
      <c r="AE203" s="303"/>
      <c r="AF203" s="303"/>
      <c r="AG203" s="303"/>
      <c r="AH203" s="303"/>
      <c r="AI203" s="303"/>
      <c r="AJ203" s="303"/>
      <c r="AK203" s="303"/>
      <c r="AL203" s="303"/>
      <c r="AM203" s="303"/>
      <c r="AN203" s="304"/>
      <c r="AO203" s="304"/>
      <c r="AP203" s="304"/>
      <c r="AQ203" s="304"/>
      <c r="AR203" s="304"/>
      <c r="AS203" s="304"/>
      <c r="AT203" s="304"/>
      <c r="AU203" s="304"/>
      <c r="AV203" s="304"/>
      <c r="AW203" s="304"/>
      <c r="AX203" s="304"/>
      <c r="AY203" s="304"/>
      <c r="AZ203" s="304"/>
      <c r="BA203" s="304"/>
      <c r="BB203" s="304"/>
      <c r="BC203" s="304"/>
      <c r="BD203" s="304"/>
      <c r="BE203" s="304"/>
    </row>
    <row r="204" spans="2:59" s="31" customFormat="1" ht="15.5" x14ac:dyDescent="0.3">
      <c r="B204" s="9"/>
      <c r="C204" s="34"/>
      <c r="D204" s="84"/>
      <c r="G204" s="34"/>
      <c r="H204" s="84"/>
      <c r="J204" s="33"/>
      <c r="K204" s="38" t="s">
        <v>329</v>
      </c>
      <c r="L204" s="38" t="s">
        <v>201</v>
      </c>
      <c r="M204" s="84"/>
      <c r="N204" s="84"/>
      <c r="O204" s="255" t="s">
        <v>644</v>
      </c>
      <c r="Q204" s="133"/>
      <c r="R204" s="44" t="s">
        <v>350</v>
      </c>
      <c r="S204" s="44"/>
      <c r="T204" s="44"/>
      <c r="U204" s="44"/>
      <c r="V204" s="44"/>
      <c r="W204" s="44"/>
      <c r="X204" s="44"/>
      <c r="Y204" s="44"/>
      <c r="Z204" s="44"/>
      <c r="AA204" s="44"/>
      <c r="AB204" s="44"/>
      <c r="AC204" s="44"/>
      <c r="AD204" s="44"/>
      <c r="AE204" s="44"/>
      <c r="AF204" s="44"/>
      <c r="AG204" s="44"/>
      <c r="AH204" s="44"/>
      <c r="AI204" s="44"/>
      <c r="AJ204" s="44"/>
      <c r="AK204" s="36"/>
      <c r="AL204" s="36"/>
      <c r="AM204" s="36"/>
      <c r="AN204" s="36"/>
      <c r="AO204" s="36"/>
      <c r="AP204" s="37"/>
      <c r="AQ204" s="37"/>
      <c r="AR204" s="37"/>
      <c r="AS204" s="37"/>
      <c r="AT204" s="37"/>
      <c r="AU204" s="37"/>
      <c r="AV204" s="37"/>
      <c r="AW204" s="37"/>
      <c r="AX204" s="37"/>
      <c r="AY204" s="37"/>
      <c r="AZ204" s="37"/>
      <c r="BA204" s="37"/>
      <c r="BB204" s="37"/>
      <c r="BC204" s="37"/>
      <c r="BD204" s="37"/>
      <c r="BE204" s="37"/>
      <c r="BF204" s="37"/>
      <c r="BG204" s="37"/>
    </row>
    <row r="205" spans="2:59" s="31" customFormat="1" ht="31" x14ac:dyDescent="0.3">
      <c r="B205" s="78" t="s">
        <v>601</v>
      </c>
      <c r="C205" s="392" t="s">
        <v>314</v>
      </c>
      <c r="D205" s="394"/>
      <c r="E205" s="34"/>
      <c r="G205" s="34"/>
      <c r="H205" s="84"/>
      <c r="J205" s="33" t="s">
        <v>534</v>
      </c>
      <c r="K205" s="138">
        <f>IF(ISNUMBER(L205),L205,Muut!$H$10)</f>
        <v>60</v>
      </c>
      <c r="L205" s="73"/>
      <c r="M205" s="86" t="s">
        <v>535</v>
      </c>
      <c r="N205" s="86"/>
      <c r="O205" s="256"/>
      <c r="Q205" s="133"/>
      <c r="R205" s="242" t="str">
        <f>IF(ISNUMBER(R209),R209,IF(ISNUMBER(R211),R211,""))</f>
        <v/>
      </c>
      <c r="S205" s="232" t="s">
        <v>172</v>
      </c>
      <c r="T205" s="44"/>
      <c r="U205" s="44"/>
      <c r="V205" s="44"/>
      <c r="W205" s="44"/>
      <c r="X205" s="44"/>
      <c r="Y205" s="44"/>
      <c r="Z205" s="44"/>
      <c r="AA205" s="44"/>
      <c r="AB205" s="44"/>
      <c r="AC205" s="44"/>
      <c r="AD205" s="44"/>
      <c r="AE205" s="44"/>
      <c r="AF205" s="44"/>
      <c r="AG205" s="44"/>
      <c r="AH205" s="44"/>
      <c r="AI205" s="44"/>
      <c r="AJ205" s="44"/>
      <c r="AK205" s="36"/>
      <c r="AL205" s="36"/>
      <c r="AM205" s="36"/>
      <c r="AN205" s="36"/>
      <c r="AO205" s="36"/>
      <c r="AP205" s="37"/>
      <c r="AQ205" s="37"/>
      <c r="AR205" s="37"/>
      <c r="AS205" s="37"/>
      <c r="AT205" s="37"/>
      <c r="AU205" s="37"/>
      <c r="AV205" s="37"/>
      <c r="AW205" s="37"/>
      <c r="AX205" s="37"/>
      <c r="AY205" s="37"/>
      <c r="AZ205" s="37"/>
      <c r="BA205" s="37"/>
      <c r="BB205" s="37"/>
      <c r="BC205" s="37"/>
      <c r="BD205" s="37"/>
      <c r="BE205" s="37"/>
      <c r="BF205" s="37"/>
      <c r="BG205" s="37"/>
    </row>
    <row r="206" spans="2:59" s="31" customFormat="1" ht="15.5" x14ac:dyDescent="0.3">
      <c r="B206" s="170" t="s">
        <v>536</v>
      </c>
      <c r="C206" s="160"/>
      <c r="D206" s="84" t="s">
        <v>8</v>
      </c>
      <c r="E206" s="34"/>
      <c r="G206" s="34"/>
      <c r="H206" s="84"/>
      <c r="J206" s="33" t="s">
        <v>537</v>
      </c>
      <c r="K206" s="96">
        <f>IF(ISNUMBER(L206),L206,IF(OR(C205="Bensiini",C205="Diesel"),Muut!$H$34,Muut!$H$35))</f>
        <v>0.95</v>
      </c>
      <c r="L206" s="175" t="str">
        <f>IF(ISNUMBER(C206),C206,"--")</f>
        <v>--</v>
      </c>
      <c r="M206" s="86"/>
      <c r="N206" s="86"/>
      <c r="O206" s="266"/>
      <c r="Q206" s="35"/>
      <c r="R206" s="221"/>
      <c r="S206" s="232"/>
      <c r="T206" s="44"/>
      <c r="U206" s="44"/>
      <c r="V206" s="44"/>
      <c r="W206" s="44"/>
      <c r="X206" s="44"/>
      <c r="Y206" s="44"/>
      <c r="Z206" s="44"/>
      <c r="AA206" s="44"/>
      <c r="AB206" s="44"/>
      <c r="AC206" s="44"/>
      <c r="AD206" s="44"/>
      <c r="AE206" s="44"/>
      <c r="AF206" s="44"/>
      <c r="AG206" s="44"/>
      <c r="AH206" s="44"/>
      <c r="AI206" s="44"/>
      <c r="AJ206" s="44"/>
      <c r="AK206" s="36"/>
      <c r="AL206" s="36"/>
      <c r="AM206" s="36"/>
      <c r="AN206" s="37"/>
      <c r="AO206" s="37"/>
      <c r="AP206" s="37"/>
      <c r="AQ206" s="37"/>
      <c r="AR206" s="37"/>
      <c r="AS206" s="37"/>
      <c r="AT206" s="37"/>
      <c r="AU206" s="37"/>
      <c r="AV206" s="37"/>
      <c r="AW206" s="37"/>
      <c r="AX206" s="37"/>
      <c r="AY206" s="37"/>
      <c r="AZ206" s="37"/>
      <c r="BA206" s="37"/>
      <c r="BB206" s="37"/>
      <c r="BC206" s="37"/>
      <c r="BD206" s="37"/>
      <c r="BE206" s="37"/>
    </row>
    <row r="207" spans="2:59" s="31" customFormat="1" ht="15.5" x14ac:dyDescent="0.3">
      <c r="B207" s="54" t="s">
        <v>315</v>
      </c>
      <c r="C207" s="160"/>
      <c r="D207" s="94" t="s">
        <v>301</v>
      </c>
      <c r="E207" s="79"/>
      <c r="G207" s="79"/>
      <c r="H207" s="84"/>
      <c r="M207" s="84"/>
      <c r="N207" s="84"/>
      <c r="O207" s="100"/>
      <c r="Q207" s="133"/>
      <c r="R207" s="106"/>
      <c r="S207" s="44"/>
      <c r="T207" s="44"/>
      <c r="U207" s="44"/>
      <c r="V207" s="44"/>
      <c r="W207" s="44"/>
      <c r="X207" s="44"/>
      <c r="Y207" s="44"/>
      <c r="Z207" s="44"/>
      <c r="AA207" s="44"/>
      <c r="AB207" s="44"/>
      <c r="AC207" s="44"/>
      <c r="AD207" s="44"/>
      <c r="AE207" s="44"/>
      <c r="AF207" s="44"/>
      <c r="AG207" s="44"/>
      <c r="AH207" s="44"/>
      <c r="AI207" s="44"/>
      <c r="AJ207" s="44"/>
      <c r="AK207" s="36"/>
      <c r="AL207" s="36"/>
      <c r="AM207" s="36"/>
      <c r="AN207" s="36"/>
      <c r="AO207" s="36"/>
      <c r="AP207" s="37"/>
      <c r="AQ207" s="37"/>
      <c r="AR207" s="37"/>
      <c r="AS207" s="37"/>
      <c r="AT207" s="37"/>
      <c r="AU207" s="37"/>
      <c r="AV207" s="37"/>
      <c r="AW207" s="37"/>
      <c r="AX207" s="37"/>
      <c r="AY207" s="37"/>
      <c r="AZ207" s="37"/>
      <c r="BA207" s="37"/>
      <c r="BB207" s="37"/>
      <c r="BC207" s="37"/>
      <c r="BD207" s="37"/>
      <c r="BE207" s="37"/>
      <c r="BF207" s="37"/>
      <c r="BG207" s="37"/>
    </row>
    <row r="208" spans="2:59" s="31" customFormat="1" ht="15.5" x14ac:dyDescent="0.3">
      <c r="B208" s="54" t="s">
        <v>600</v>
      </c>
      <c r="C208" s="34"/>
      <c r="D208" s="84"/>
      <c r="G208" s="34"/>
      <c r="H208" s="84"/>
      <c r="J208" s="33"/>
      <c r="K208" s="38"/>
      <c r="L208" s="38"/>
      <c r="M208" s="84"/>
      <c r="N208" s="84"/>
      <c r="O208" s="100"/>
      <c r="Q208" s="133"/>
      <c r="R208" s="44" t="s">
        <v>350</v>
      </c>
      <c r="S208" s="44"/>
      <c r="T208" s="44" t="s">
        <v>184</v>
      </c>
      <c r="U208" s="44"/>
      <c r="V208" s="44"/>
      <c r="W208" s="44"/>
      <c r="X208" s="44"/>
      <c r="Y208" s="44"/>
      <c r="Z208" s="44"/>
      <c r="AA208" s="44"/>
      <c r="AB208" s="44"/>
      <c r="AC208" s="44"/>
      <c r="AD208" s="44"/>
      <c r="AE208" s="44"/>
      <c r="AF208" s="44"/>
      <c r="AG208" s="44"/>
      <c r="AH208" s="44"/>
      <c r="AI208" s="44"/>
      <c r="AJ208" s="44"/>
      <c r="AK208" s="36"/>
      <c r="AL208" s="36"/>
      <c r="AM208" s="36"/>
      <c r="AN208" s="36"/>
      <c r="AO208" s="36"/>
      <c r="AP208" s="37"/>
      <c r="AQ208" s="37"/>
      <c r="AR208" s="37"/>
      <c r="AS208" s="37"/>
      <c r="AT208" s="37"/>
      <c r="AU208" s="37"/>
      <c r="AV208" s="37"/>
      <c r="AW208" s="37"/>
      <c r="AX208" s="37"/>
      <c r="AY208" s="37"/>
      <c r="AZ208" s="37"/>
      <c r="BA208" s="37"/>
      <c r="BB208" s="37"/>
      <c r="BC208" s="37"/>
      <c r="BD208" s="37"/>
      <c r="BE208" s="37"/>
      <c r="BF208" s="37"/>
      <c r="BG208" s="37"/>
    </row>
    <row r="209" spans="2:59" s="31" customFormat="1" ht="31" x14ac:dyDescent="0.3">
      <c r="B209" s="170" t="s">
        <v>605</v>
      </c>
      <c r="C209" s="156"/>
      <c r="D209" s="84" t="s">
        <v>296</v>
      </c>
      <c r="E209" s="34"/>
      <c r="G209" s="34"/>
      <c r="H209" s="84"/>
      <c r="M209" s="84"/>
      <c r="N209" s="84"/>
      <c r="O209" s="100"/>
      <c r="Q209" s="133"/>
      <c r="R209" s="242" t="str">
        <f>IF(ISNUMBER(C209),IF(AND(ISNUMBER(C207),C205="Aggregaatti"),C207*IF(D207="vuosi",365*24,IF(D207="kuukausi",30*24,IF(D207="päivä",24,1)))*Kalusto!$E$23,C209*T209),"")</f>
        <v/>
      </c>
      <c r="S209" s="232" t="s">
        <v>172</v>
      </c>
      <c r="T209" s="229" t="str">
        <f>IF(ISNUMBER(C209),IF(C205="Ostosähkö", (K205+Muut!$H$12)/1000,IF(C205="Aurinkopaneelit",(Muut!$H$24+Muut!$H$25)/1000,IF(OR(C205="Bensiini",C205="Diesel"),(Muut!$H$15+Muut!$H$14+Muut!$H$17+Muut!$H$18)/2,"Aggregaatin kerroin"))),"")</f>
        <v/>
      </c>
      <c r="U209" s="44"/>
      <c r="V209" s="44"/>
      <c r="W209" s="44"/>
      <c r="X209" s="44"/>
      <c r="Y209" s="44"/>
      <c r="Z209" s="44"/>
      <c r="AA209" s="44"/>
      <c r="AB209" s="44"/>
      <c r="AC209" s="44"/>
      <c r="AD209" s="44"/>
      <c r="AE209" s="44"/>
      <c r="AF209" s="44"/>
      <c r="AG209" s="44"/>
      <c r="AH209" s="44"/>
      <c r="AI209" s="44"/>
      <c r="AJ209" s="44"/>
      <c r="AK209" s="36"/>
      <c r="AL209" s="36"/>
      <c r="AM209" s="36"/>
      <c r="AN209" s="36"/>
      <c r="AO209" s="36"/>
      <c r="AP209" s="37"/>
      <c r="AQ209" s="37"/>
      <c r="AR209" s="37"/>
      <c r="AS209" s="37"/>
      <c r="AT209" s="37"/>
      <c r="AU209" s="37"/>
      <c r="AV209" s="37"/>
      <c r="AW209" s="37"/>
      <c r="AX209" s="37"/>
      <c r="AY209" s="37"/>
      <c r="AZ209" s="37"/>
      <c r="BA209" s="37"/>
      <c r="BB209" s="37"/>
      <c r="BC209" s="37"/>
      <c r="BD209" s="37"/>
      <c r="BE209" s="37"/>
      <c r="BF209" s="37"/>
      <c r="BG209" s="37"/>
    </row>
    <row r="210" spans="2:59" s="31" customFormat="1" ht="15.5" x14ac:dyDescent="0.3">
      <c r="B210" s="54" t="s">
        <v>604</v>
      </c>
      <c r="C210" s="34"/>
      <c r="D210" s="84"/>
      <c r="G210" s="79"/>
      <c r="H210" s="84"/>
      <c r="M210" s="84"/>
      <c r="N210" s="84"/>
      <c r="O210" s="100"/>
      <c r="Q210" s="133"/>
      <c r="R210" s="44" t="s">
        <v>350</v>
      </c>
      <c r="S210" s="44"/>
      <c r="T210" s="44" t="s">
        <v>184</v>
      </c>
      <c r="U210" s="44"/>
      <c r="V210" s="44"/>
      <c r="W210" s="44"/>
      <c r="X210" s="44"/>
      <c r="Y210" s="44"/>
      <c r="Z210" s="44"/>
      <c r="AA210" s="44"/>
      <c r="AB210" s="44"/>
      <c r="AC210" s="44"/>
      <c r="AD210" s="44"/>
      <c r="AE210" s="44"/>
      <c r="AF210" s="44"/>
      <c r="AG210" s="44"/>
      <c r="AH210" s="44"/>
      <c r="AI210" s="44"/>
      <c r="AJ210" s="44"/>
      <c r="AK210" s="36"/>
      <c r="AL210" s="36"/>
      <c r="AM210" s="36"/>
      <c r="AN210" s="36"/>
      <c r="AO210" s="36"/>
      <c r="AP210" s="37"/>
      <c r="AQ210" s="37"/>
      <c r="AR210" s="37"/>
      <c r="AS210" s="37"/>
      <c r="AT210" s="37"/>
      <c r="AU210" s="37"/>
      <c r="AV210" s="37"/>
      <c r="AW210" s="37"/>
      <c r="AX210" s="37"/>
      <c r="AY210" s="37"/>
      <c r="AZ210" s="37"/>
      <c r="BA210" s="37"/>
      <c r="BB210" s="37"/>
      <c r="BC210" s="37"/>
      <c r="BD210" s="37"/>
      <c r="BE210" s="37"/>
      <c r="BF210" s="37"/>
      <c r="BG210" s="37"/>
    </row>
    <row r="211" spans="2:59" s="31" customFormat="1" ht="15.5" x14ac:dyDescent="0.3">
      <c r="B211" s="45" t="s">
        <v>603</v>
      </c>
      <c r="C211" s="160"/>
      <c r="D211" s="84" t="s">
        <v>211</v>
      </c>
      <c r="G211" s="79"/>
      <c r="H211" s="84"/>
      <c r="M211" s="84"/>
      <c r="N211" s="84"/>
      <c r="O211" s="100"/>
      <c r="Q211" s="133"/>
      <c r="R211" s="242" t="str">
        <f>IF(ISNUMBER(C211),IF(AND(ISNUMBER(C207),C205="Aggregaatti"),C209*IF(D207="vuosi",365*24,IF(D207="kuukausi",30*24,IF(D207="päivä",24,1)))*Kalusto!$E$23,IF(D207="vuosi",365*24,IF(D207="kuukausi",30*24,IF(D207="päivä",24,1)))*C211*T211/K206),"")</f>
        <v/>
      </c>
      <c r="S211" s="232" t="s">
        <v>172</v>
      </c>
      <c r="T211" s="229" t="str">
        <f>IF(ISNUMBER(C211),IF(C205="Ostosähkö", (K205+Muut!$H$12)/1000/K206,IF(C205="Aurinkopaneelit",(Muut!$H$24+Muut!$H$25)/1000,IF(OR(C205="Bensiini",C205="Diesel"),(Muut!$H$15+Muut!$H$14+Muut!$H$17+Muut!$H$18)/2/K206,"Aggregaatin kerroin"))),"")</f>
        <v/>
      </c>
      <c r="U211" s="44"/>
      <c r="V211" s="44"/>
      <c r="W211" s="44"/>
      <c r="X211" s="44"/>
      <c r="Y211" s="44"/>
      <c r="Z211" s="44"/>
      <c r="AA211" s="44"/>
      <c r="AB211" s="44"/>
      <c r="AC211" s="44"/>
      <c r="AD211" s="44"/>
      <c r="AE211" s="44"/>
      <c r="AF211" s="44"/>
      <c r="AG211" s="44"/>
      <c r="AH211" s="44"/>
      <c r="AI211" s="44"/>
      <c r="AJ211" s="44"/>
      <c r="AK211" s="36"/>
      <c r="AL211" s="36"/>
      <c r="AM211" s="36"/>
      <c r="AN211" s="36"/>
      <c r="AO211" s="36"/>
      <c r="AP211" s="37"/>
      <c r="AQ211" s="37"/>
      <c r="AR211" s="37"/>
      <c r="AS211" s="37"/>
      <c r="AT211" s="37"/>
      <c r="AU211" s="37"/>
      <c r="AV211" s="37"/>
      <c r="AW211" s="37"/>
      <c r="AX211" s="37"/>
      <c r="AY211" s="37"/>
      <c r="AZ211" s="37"/>
      <c r="BA211" s="37"/>
      <c r="BB211" s="37"/>
      <c r="BC211" s="37"/>
      <c r="BD211" s="37"/>
      <c r="BE211" s="37"/>
      <c r="BF211" s="37"/>
      <c r="BG211" s="37"/>
    </row>
    <row r="212" spans="2:59" s="31" customFormat="1" ht="15.5" x14ac:dyDescent="0.3">
      <c r="D212" s="84"/>
      <c r="H212" s="84"/>
      <c r="M212" s="84"/>
      <c r="N212" s="84"/>
      <c r="O212" s="84"/>
      <c r="Q212" s="133"/>
      <c r="R212" s="243"/>
      <c r="S212" s="225"/>
      <c r="T212" s="174"/>
      <c r="U212" s="44"/>
      <c r="V212" s="44"/>
      <c r="W212" s="44"/>
      <c r="X212" s="44"/>
      <c r="Y212" s="44"/>
      <c r="Z212" s="44"/>
      <c r="AA212" s="44"/>
      <c r="AB212" s="44"/>
      <c r="AC212" s="44"/>
      <c r="AD212" s="44"/>
      <c r="AE212" s="44"/>
      <c r="AF212" s="44"/>
      <c r="AG212" s="44"/>
      <c r="AH212" s="44"/>
      <c r="AI212" s="44"/>
      <c r="AJ212" s="44"/>
      <c r="AK212" s="36"/>
      <c r="AL212" s="36"/>
      <c r="AM212" s="36"/>
      <c r="AN212" s="36"/>
      <c r="AO212" s="36"/>
      <c r="AP212" s="37"/>
      <c r="AQ212" s="37"/>
      <c r="AR212" s="37"/>
      <c r="AS212" s="37"/>
      <c r="AT212" s="37"/>
      <c r="AU212" s="37"/>
      <c r="AV212" s="37"/>
      <c r="AW212" s="37"/>
      <c r="AX212" s="37"/>
      <c r="AY212" s="37"/>
      <c r="AZ212" s="37"/>
      <c r="BA212" s="37"/>
      <c r="BB212" s="37"/>
      <c r="BC212" s="37"/>
      <c r="BD212" s="37"/>
      <c r="BE212" s="37"/>
      <c r="BF212" s="37"/>
      <c r="BG212" s="37"/>
    </row>
    <row r="213" spans="2:59" s="298" customFormat="1" ht="18" x14ac:dyDescent="0.3">
      <c r="B213" s="295" t="s">
        <v>320</v>
      </c>
      <c r="C213" s="296"/>
      <c r="D213" s="297"/>
      <c r="G213" s="296"/>
      <c r="H213" s="297"/>
      <c r="K213" s="296"/>
      <c r="L213" s="296"/>
      <c r="M213" s="297"/>
      <c r="N213" s="297"/>
      <c r="O213" s="300"/>
      <c r="P213" s="320"/>
      <c r="Q213" s="304"/>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4"/>
      <c r="AO213" s="304"/>
      <c r="AP213" s="304"/>
      <c r="AQ213" s="304"/>
      <c r="AR213" s="304"/>
      <c r="AS213" s="304"/>
      <c r="AT213" s="304"/>
      <c r="AU213" s="304"/>
      <c r="AV213" s="304"/>
      <c r="AW213" s="304"/>
      <c r="AX213" s="304"/>
      <c r="AY213" s="304"/>
      <c r="AZ213" s="304"/>
      <c r="BA213" s="304"/>
      <c r="BB213" s="304"/>
      <c r="BC213" s="304"/>
      <c r="BD213" s="304"/>
      <c r="BE213" s="304"/>
    </row>
    <row r="214" spans="2:59" s="31" customFormat="1" ht="15.5" x14ac:dyDescent="0.3">
      <c r="B214" s="9"/>
      <c r="C214" s="34"/>
      <c r="D214" s="84"/>
      <c r="G214" s="34"/>
      <c r="H214" s="84"/>
      <c r="J214" s="33"/>
      <c r="K214" s="38" t="s">
        <v>329</v>
      </c>
      <c r="L214" s="38" t="s">
        <v>201</v>
      </c>
      <c r="M214" s="84"/>
      <c r="N214" s="84"/>
      <c r="O214" s="255" t="s">
        <v>644</v>
      </c>
      <c r="Q214" s="133"/>
      <c r="R214" s="44" t="s">
        <v>350</v>
      </c>
      <c r="S214" s="44"/>
      <c r="T214" s="44"/>
      <c r="U214" s="44"/>
      <c r="V214" s="44"/>
      <c r="W214" s="44"/>
      <c r="X214" s="44"/>
      <c r="Y214" s="44"/>
      <c r="Z214" s="44"/>
      <c r="AA214" s="44"/>
      <c r="AB214" s="44"/>
      <c r="AC214" s="44"/>
      <c r="AD214" s="44"/>
      <c r="AE214" s="44"/>
      <c r="AF214" s="44"/>
      <c r="AG214" s="44"/>
      <c r="AH214" s="44"/>
      <c r="AI214" s="44"/>
      <c r="AJ214" s="44"/>
      <c r="AK214" s="36"/>
      <c r="AL214" s="36"/>
      <c r="AM214" s="36"/>
      <c r="AN214" s="36"/>
      <c r="AO214" s="36"/>
      <c r="AP214" s="37"/>
      <c r="AQ214" s="37"/>
      <c r="AR214" s="37"/>
      <c r="AS214" s="37"/>
      <c r="AT214" s="37"/>
      <c r="AU214" s="37"/>
      <c r="AV214" s="37"/>
      <c r="AW214" s="37"/>
      <c r="AX214" s="37"/>
      <c r="AY214" s="37"/>
      <c r="AZ214" s="37"/>
      <c r="BA214" s="37"/>
      <c r="BB214" s="37"/>
      <c r="BC214" s="37"/>
      <c r="BD214" s="37"/>
      <c r="BE214" s="37"/>
      <c r="BF214" s="37"/>
      <c r="BG214" s="37"/>
    </row>
    <row r="215" spans="2:59" s="31" customFormat="1" ht="31" x14ac:dyDescent="0.3">
      <c r="B215" s="78" t="s">
        <v>601</v>
      </c>
      <c r="C215" s="392" t="s">
        <v>314</v>
      </c>
      <c r="D215" s="394"/>
      <c r="E215" s="34"/>
      <c r="G215" s="34"/>
      <c r="H215" s="84"/>
      <c r="J215" s="33" t="s">
        <v>534</v>
      </c>
      <c r="K215" s="138">
        <f>IF(ISNUMBER(L215),L215,Muut!$H$10)</f>
        <v>60</v>
      </c>
      <c r="L215" s="73"/>
      <c r="M215" s="86" t="s">
        <v>535</v>
      </c>
      <c r="N215" s="86"/>
      <c r="O215" s="256"/>
      <c r="Q215" s="133"/>
      <c r="R215" s="242" t="str">
        <f>IF(ISNUMBER(R219),R219,IF(ISNUMBER(R221),R221,""))</f>
        <v/>
      </c>
      <c r="S215" s="232" t="s">
        <v>172</v>
      </c>
      <c r="T215" s="44"/>
      <c r="U215" s="44"/>
      <c r="V215" s="44"/>
      <c r="W215" s="44"/>
      <c r="X215" s="44"/>
      <c r="Y215" s="44"/>
      <c r="Z215" s="44"/>
      <c r="AA215" s="44"/>
      <c r="AB215" s="44"/>
      <c r="AC215" s="44"/>
      <c r="AD215" s="44"/>
      <c r="AE215" s="44"/>
      <c r="AF215" s="44"/>
      <c r="AG215" s="44"/>
      <c r="AH215" s="44"/>
      <c r="AI215" s="44"/>
      <c r="AJ215" s="44"/>
      <c r="AK215" s="36"/>
      <c r="AL215" s="36"/>
      <c r="AM215" s="36"/>
      <c r="AN215" s="36"/>
      <c r="AO215" s="36"/>
      <c r="AP215" s="37"/>
      <c r="AQ215" s="37"/>
      <c r="AR215" s="37"/>
      <c r="AS215" s="37"/>
      <c r="AT215" s="37"/>
      <c r="AU215" s="37"/>
      <c r="AV215" s="37"/>
      <c r="AW215" s="37"/>
      <c r="AX215" s="37"/>
      <c r="AY215" s="37"/>
      <c r="AZ215" s="37"/>
      <c r="BA215" s="37"/>
      <c r="BB215" s="37"/>
      <c r="BC215" s="37"/>
      <c r="BD215" s="37"/>
      <c r="BE215" s="37"/>
      <c r="BF215" s="37"/>
      <c r="BG215" s="37"/>
    </row>
    <row r="216" spans="2:59" s="31" customFormat="1" ht="15.5" x14ac:dyDescent="0.3">
      <c r="B216" s="170" t="s">
        <v>536</v>
      </c>
      <c r="C216" s="160"/>
      <c r="D216" s="84" t="s">
        <v>8</v>
      </c>
      <c r="E216" s="34"/>
      <c r="G216" s="34"/>
      <c r="H216" s="84"/>
      <c r="J216" s="33" t="s">
        <v>537</v>
      </c>
      <c r="K216" s="96">
        <f>IF(ISNUMBER(L216),L216,IF(OR(C215="Bensiini",C215="Diesel"),Muut!$H$34,Muut!$H$35))</f>
        <v>0.95</v>
      </c>
      <c r="L216" s="175" t="str">
        <f>IF(ISNUMBER(C216),C216,"--")</f>
        <v>--</v>
      </c>
      <c r="M216" s="86"/>
      <c r="N216" s="86"/>
      <c r="O216" s="266"/>
      <c r="Q216" s="35"/>
      <c r="R216" s="221"/>
      <c r="S216" s="232"/>
      <c r="T216" s="44"/>
      <c r="U216" s="44"/>
      <c r="V216" s="44"/>
      <c r="W216" s="44"/>
      <c r="X216" s="44"/>
      <c r="Y216" s="44"/>
      <c r="Z216" s="44"/>
      <c r="AA216" s="44"/>
      <c r="AB216" s="44"/>
      <c r="AC216" s="44"/>
      <c r="AD216" s="44"/>
      <c r="AE216" s="44"/>
      <c r="AF216" s="44"/>
      <c r="AG216" s="44"/>
      <c r="AH216" s="44"/>
      <c r="AI216" s="44"/>
      <c r="AJ216" s="44"/>
      <c r="AK216" s="36"/>
      <c r="AL216" s="36"/>
      <c r="AM216" s="36"/>
      <c r="AN216" s="37"/>
      <c r="AO216" s="37"/>
      <c r="AP216" s="37"/>
      <c r="AQ216" s="37"/>
      <c r="AR216" s="37"/>
      <c r="AS216" s="37"/>
      <c r="AT216" s="37"/>
      <c r="AU216" s="37"/>
      <c r="AV216" s="37"/>
      <c r="AW216" s="37"/>
      <c r="AX216" s="37"/>
      <c r="AY216" s="37"/>
      <c r="AZ216" s="37"/>
      <c r="BA216" s="37"/>
      <c r="BB216" s="37"/>
      <c r="BC216" s="37"/>
      <c r="BD216" s="37"/>
      <c r="BE216" s="37"/>
    </row>
    <row r="217" spans="2:59" s="31" customFormat="1" ht="15.5" x14ac:dyDescent="0.3">
      <c r="B217" s="54" t="s">
        <v>315</v>
      </c>
      <c r="C217" s="160"/>
      <c r="D217" s="94" t="s">
        <v>301</v>
      </c>
      <c r="E217" s="79"/>
      <c r="G217" s="79"/>
      <c r="H217" s="84"/>
      <c r="M217" s="84"/>
      <c r="N217" s="84"/>
      <c r="O217" s="100"/>
      <c r="Q217" s="133"/>
      <c r="R217" s="106"/>
      <c r="S217" s="44"/>
      <c r="T217" s="44"/>
      <c r="U217" s="44"/>
      <c r="V217" s="44"/>
      <c r="W217" s="44"/>
      <c r="X217" s="44"/>
      <c r="Y217" s="44"/>
      <c r="Z217" s="44"/>
      <c r="AA217" s="44"/>
      <c r="AB217" s="44"/>
      <c r="AC217" s="44"/>
      <c r="AD217" s="44"/>
      <c r="AE217" s="44"/>
      <c r="AF217" s="44"/>
      <c r="AG217" s="44"/>
      <c r="AH217" s="44"/>
      <c r="AI217" s="44"/>
      <c r="AJ217" s="44"/>
      <c r="AK217" s="36"/>
      <c r="AL217" s="36"/>
      <c r="AM217" s="36"/>
      <c r="AN217" s="36"/>
      <c r="AO217" s="36"/>
      <c r="AP217" s="37"/>
      <c r="AQ217" s="37"/>
      <c r="AR217" s="37"/>
      <c r="AS217" s="37"/>
      <c r="AT217" s="37"/>
      <c r="AU217" s="37"/>
      <c r="AV217" s="37"/>
      <c r="AW217" s="37"/>
      <c r="AX217" s="37"/>
      <c r="AY217" s="37"/>
      <c r="AZ217" s="37"/>
      <c r="BA217" s="37"/>
      <c r="BB217" s="37"/>
      <c r="BC217" s="37"/>
      <c r="BD217" s="37"/>
      <c r="BE217" s="37"/>
      <c r="BF217" s="37"/>
      <c r="BG217" s="37"/>
    </row>
    <row r="218" spans="2:59" s="31" customFormat="1" ht="15.5" x14ac:dyDescent="0.3">
      <c r="B218" s="54" t="s">
        <v>600</v>
      </c>
      <c r="C218" s="34"/>
      <c r="D218" s="84"/>
      <c r="G218" s="34"/>
      <c r="H218" s="84"/>
      <c r="J218" s="33"/>
      <c r="K218" s="38"/>
      <c r="L218" s="38"/>
      <c r="M218" s="84"/>
      <c r="N218" s="84"/>
      <c r="O218" s="100"/>
      <c r="Q218" s="133"/>
      <c r="R218" s="44" t="s">
        <v>350</v>
      </c>
      <c r="S218" s="44"/>
      <c r="T218" s="44" t="s">
        <v>184</v>
      </c>
      <c r="U218" s="44"/>
      <c r="V218" s="44"/>
      <c r="W218" s="44"/>
      <c r="X218" s="44"/>
      <c r="Y218" s="44"/>
      <c r="Z218" s="44"/>
      <c r="AA218" s="44"/>
      <c r="AB218" s="44"/>
      <c r="AC218" s="44"/>
      <c r="AD218" s="44"/>
      <c r="AE218" s="44"/>
      <c r="AF218" s="44"/>
      <c r="AG218" s="44"/>
      <c r="AH218" s="44"/>
      <c r="AI218" s="44"/>
      <c r="AJ218" s="44"/>
      <c r="AK218" s="36"/>
      <c r="AL218" s="36"/>
      <c r="AM218" s="36"/>
      <c r="AN218" s="36"/>
      <c r="AO218" s="36"/>
      <c r="AP218" s="37"/>
      <c r="AQ218" s="37"/>
      <c r="AR218" s="37"/>
      <c r="AS218" s="37"/>
      <c r="AT218" s="37"/>
      <c r="AU218" s="37"/>
      <c r="AV218" s="37"/>
      <c r="AW218" s="37"/>
      <c r="AX218" s="37"/>
      <c r="AY218" s="37"/>
      <c r="AZ218" s="37"/>
      <c r="BA218" s="37"/>
      <c r="BB218" s="37"/>
      <c r="BC218" s="37"/>
      <c r="BD218" s="37"/>
      <c r="BE218" s="37"/>
      <c r="BF218" s="37"/>
      <c r="BG218" s="37"/>
    </row>
    <row r="219" spans="2:59" s="31" customFormat="1" ht="31" x14ac:dyDescent="0.3">
      <c r="B219" s="170" t="s">
        <v>605</v>
      </c>
      <c r="C219" s="156"/>
      <c r="D219" s="84" t="s">
        <v>296</v>
      </c>
      <c r="E219" s="34"/>
      <c r="G219" s="34"/>
      <c r="H219" s="84"/>
      <c r="M219" s="84"/>
      <c r="N219" s="84"/>
      <c r="O219" s="100"/>
      <c r="Q219" s="133"/>
      <c r="R219" s="242" t="str">
        <f>IF(ISNUMBER(C219),IF(AND(ISNUMBER(C217),C215="Aggregaatti"),C217*IF(D217="vuosi",365*24,IF(D217="kuukausi",30*24,IF(D217="päivä",24,1)))*Kalusto!$E$23,C219*T219),"")</f>
        <v/>
      </c>
      <c r="S219" s="232" t="s">
        <v>172</v>
      </c>
      <c r="T219" s="229" t="str">
        <f>IF(ISNUMBER(C219),IF(C215="Ostosähkö", (K215+Muut!$H$12)/1000,IF(C215="Aurinkopaneelit",(Muut!$H$24+Muut!$H$25)/1000,IF(OR(C215="Bensiini",C215="Diesel"),(Muut!$H$15+Muut!$H$14+Muut!$H$17+Muut!$H$18)/2,"Aggregaatin kerroin"))),"")</f>
        <v/>
      </c>
      <c r="U219" s="44"/>
      <c r="V219" s="44"/>
      <c r="W219" s="44"/>
      <c r="X219" s="44"/>
      <c r="Y219" s="44"/>
      <c r="Z219" s="44"/>
      <c r="AA219" s="44"/>
      <c r="AB219" s="44"/>
      <c r="AC219" s="44"/>
      <c r="AD219" s="44"/>
      <c r="AE219" s="44"/>
      <c r="AF219" s="44"/>
      <c r="AG219" s="44"/>
      <c r="AH219" s="44"/>
      <c r="AI219" s="44"/>
      <c r="AJ219" s="44"/>
      <c r="AK219" s="36"/>
      <c r="AL219" s="36"/>
      <c r="AM219" s="36"/>
      <c r="AN219" s="36"/>
      <c r="AO219" s="36"/>
      <c r="AP219" s="37"/>
      <c r="AQ219" s="37"/>
      <c r="AR219" s="37"/>
      <c r="AS219" s="37"/>
      <c r="AT219" s="37"/>
      <c r="AU219" s="37"/>
      <c r="AV219" s="37"/>
      <c r="AW219" s="37"/>
      <c r="AX219" s="37"/>
      <c r="AY219" s="37"/>
      <c r="AZ219" s="37"/>
      <c r="BA219" s="37"/>
      <c r="BB219" s="37"/>
      <c r="BC219" s="37"/>
      <c r="BD219" s="37"/>
      <c r="BE219" s="37"/>
      <c r="BF219" s="37"/>
      <c r="BG219" s="37"/>
    </row>
    <row r="220" spans="2:59" s="31" customFormat="1" ht="15.5" x14ac:dyDescent="0.3">
      <c r="B220" s="54" t="s">
        <v>604</v>
      </c>
      <c r="C220" s="34"/>
      <c r="D220" s="84"/>
      <c r="G220" s="79"/>
      <c r="H220" s="84"/>
      <c r="M220" s="84"/>
      <c r="N220" s="84"/>
      <c r="O220" s="100"/>
      <c r="Q220" s="133"/>
      <c r="R220" s="44" t="s">
        <v>350</v>
      </c>
      <c r="S220" s="44"/>
      <c r="T220" s="44" t="s">
        <v>184</v>
      </c>
      <c r="U220" s="44"/>
      <c r="V220" s="44"/>
      <c r="W220" s="44"/>
      <c r="X220" s="44"/>
      <c r="Y220" s="44"/>
      <c r="Z220" s="44"/>
      <c r="AA220" s="44"/>
      <c r="AB220" s="44"/>
      <c r="AC220" s="44"/>
      <c r="AD220" s="44"/>
      <c r="AE220" s="44"/>
      <c r="AF220" s="44"/>
      <c r="AG220" s="44"/>
      <c r="AH220" s="44"/>
      <c r="AI220" s="44"/>
      <c r="AJ220" s="44"/>
      <c r="AK220" s="36"/>
      <c r="AL220" s="36"/>
      <c r="AM220" s="36"/>
      <c r="AN220" s="36"/>
      <c r="AO220" s="36"/>
      <c r="AP220" s="37"/>
      <c r="AQ220" s="37"/>
      <c r="AR220" s="37"/>
      <c r="AS220" s="37"/>
      <c r="AT220" s="37"/>
      <c r="AU220" s="37"/>
      <c r="AV220" s="37"/>
      <c r="AW220" s="37"/>
      <c r="AX220" s="37"/>
      <c r="AY220" s="37"/>
      <c r="AZ220" s="37"/>
      <c r="BA220" s="37"/>
      <c r="BB220" s="37"/>
      <c r="BC220" s="37"/>
      <c r="BD220" s="37"/>
      <c r="BE220" s="37"/>
      <c r="BF220" s="37"/>
      <c r="BG220" s="37"/>
    </row>
    <row r="221" spans="2:59" s="31" customFormat="1" ht="15.5" x14ac:dyDescent="0.3">
      <c r="B221" s="45" t="s">
        <v>603</v>
      </c>
      <c r="C221" s="160"/>
      <c r="D221" s="84" t="s">
        <v>211</v>
      </c>
      <c r="G221" s="79"/>
      <c r="H221" s="84"/>
      <c r="M221" s="84"/>
      <c r="N221" s="84"/>
      <c r="O221" s="100"/>
      <c r="Q221" s="133"/>
      <c r="R221" s="242" t="str">
        <f>IF(ISNUMBER(C221),IF(AND(ISNUMBER(C217),C215="Aggregaatti"),C219*IF(D217="vuosi",365*24,IF(D217="kuukausi",30*24,IF(D217="päivä",24,1)))*Kalusto!$E$23,IF(D217="vuosi",365*24,IF(D217="kuukausi",30*24,IF(D217="päivä",24,1)))*C221*T221/K216),"")</f>
        <v/>
      </c>
      <c r="S221" s="232" t="s">
        <v>172</v>
      </c>
      <c r="T221" s="229" t="str">
        <f>IF(ISNUMBER(C221),IF(C215="Ostosähkö", (K215+Muut!$H$12)/1000/K216,IF(C215="Aurinkopaneelit",(Muut!$H$24+Muut!$H$25)/1000,IF(OR(C215="Bensiini",C215="Diesel"),(Muut!$H$15+Muut!$H$14+Muut!$H$17+Muut!$H$18)/2/K216,"Aggregaatin kerroin"))),"")</f>
        <v/>
      </c>
      <c r="U221" s="44"/>
      <c r="V221" s="44"/>
      <c r="W221" s="44"/>
      <c r="X221" s="44"/>
      <c r="Y221" s="44"/>
      <c r="Z221" s="44"/>
      <c r="AA221" s="44"/>
      <c r="AB221" s="44"/>
      <c r="AC221" s="44"/>
      <c r="AD221" s="44"/>
      <c r="AE221" s="44"/>
      <c r="AF221" s="44"/>
      <c r="AG221" s="44"/>
      <c r="AH221" s="44"/>
      <c r="AI221" s="44"/>
      <c r="AJ221" s="44"/>
      <c r="AK221" s="36"/>
      <c r="AL221" s="36"/>
      <c r="AM221" s="36"/>
      <c r="AN221" s="36"/>
      <c r="AO221" s="36"/>
      <c r="AP221" s="37"/>
      <c r="AQ221" s="37"/>
      <c r="AR221" s="37"/>
      <c r="AS221" s="37"/>
      <c r="AT221" s="37"/>
      <c r="AU221" s="37"/>
      <c r="AV221" s="37"/>
      <c r="AW221" s="37"/>
      <c r="AX221" s="37"/>
      <c r="AY221" s="37"/>
      <c r="AZ221" s="37"/>
      <c r="BA221" s="37"/>
      <c r="BB221" s="37"/>
      <c r="BC221" s="37"/>
      <c r="BD221" s="37"/>
      <c r="BE221" s="37"/>
      <c r="BF221" s="37"/>
      <c r="BG221" s="37"/>
    </row>
    <row r="222" spans="2:59" s="31" customFormat="1" ht="15.5" x14ac:dyDescent="0.3">
      <c r="B222" s="54"/>
      <c r="C222" s="34"/>
      <c r="D222" s="34"/>
      <c r="E222" s="59"/>
      <c r="G222" s="34"/>
      <c r="H222" s="84"/>
      <c r="J222" s="33"/>
      <c r="K222" s="34"/>
      <c r="L222" s="34"/>
      <c r="M222" s="84"/>
      <c r="N222" s="84"/>
      <c r="O222" s="84"/>
      <c r="Q222" s="37"/>
      <c r="R222" s="106"/>
      <c r="S222" s="44"/>
      <c r="T222" s="44"/>
      <c r="U222" s="44"/>
      <c r="V222" s="44"/>
      <c r="W222" s="44"/>
      <c r="X222" s="44"/>
      <c r="Y222" s="44"/>
      <c r="Z222" s="44"/>
      <c r="AA222" s="44"/>
      <c r="AB222" s="44"/>
      <c r="AC222" s="44"/>
      <c r="AD222" s="44"/>
      <c r="AE222" s="44"/>
      <c r="AF222" s="44"/>
      <c r="AG222" s="44"/>
      <c r="AH222" s="44"/>
      <c r="AI222" s="44"/>
      <c r="AJ222" s="44"/>
      <c r="AK222" s="36"/>
      <c r="AL222" s="36"/>
      <c r="AM222" s="36"/>
      <c r="AN222" s="37"/>
      <c r="AO222" s="37"/>
      <c r="AP222" s="37"/>
      <c r="AQ222" s="37"/>
      <c r="AR222" s="37"/>
      <c r="AS222" s="37"/>
      <c r="AT222" s="37"/>
      <c r="AU222" s="37"/>
      <c r="AV222" s="37"/>
      <c r="AW222" s="37"/>
      <c r="AX222" s="37"/>
      <c r="AY222" s="37"/>
      <c r="AZ222" s="37"/>
      <c r="BA222" s="37"/>
      <c r="BB222" s="37"/>
      <c r="BC222" s="37"/>
      <c r="BD222" s="37"/>
      <c r="BE222" s="37"/>
    </row>
    <row r="223" spans="2:59" s="298" customFormat="1" ht="18" x14ac:dyDescent="0.3">
      <c r="B223" s="295" t="s">
        <v>42</v>
      </c>
      <c r="C223" s="296"/>
      <c r="D223" s="297"/>
      <c r="G223" s="296"/>
      <c r="H223" s="297"/>
      <c r="K223" s="296"/>
      <c r="L223" s="296"/>
      <c r="M223" s="297"/>
      <c r="N223" s="297"/>
      <c r="O223" s="300"/>
      <c r="P223" s="320"/>
      <c r="Q223" s="304"/>
      <c r="R223" s="298" t="str">
        <f>IF(OR(ISNUMBER(#REF!),ISNUMBER(#REF!),ISNUMBER(#REF!)),SUM(#REF!,#REF!,#REF!),"")</f>
        <v/>
      </c>
      <c r="S223" s="303"/>
      <c r="T223" s="303"/>
      <c r="U223" s="303"/>
      <c r="V223" s="303"/>
      <c r="W223" s="303"/>
      <c r="X223" s="303"/>
      <c r="Y223" s="303"/>
      <c r="Z223" s="303"/>
      <c r="AA223" s="303"/>
      <c r="AB223" s="303"/>
      <c r="AC223" s="303"/>
      <c r="AD223" s="303"/>
      <c r="AE223" s="303"/>
      <c r="AF223" s="303"/>
      <c r="AG223" s="303"/>
      <c r="AH223" s="303"/>
      <c r="AI223" s="303"/>
      <c r="AJ223" s="303"/>
      <c r="AK223" s="303"/>
      <c r="AL223" s="303"/>
      <c r="AM223" s="303"/>
      <c r="AN223" s="304"/>
      <c r="AO223" s="304"/>
      <c r="AP223" s="304"/>
      <c r="AQ223" s="304"/>
      <c r="AR223" s="304"/>
      <c r="AS223" s="304"/>
      <c r="AT223" s="304"/>
      <c r="AU223" s="304"/>
      <c r="AV223" s="304"/>
      <c r="AW223" s="304"/>
      <c r="AX223" s="304"/>
      <c r="AY223" s="304"/>
      <c r="AZ223" s="304"/>
      <c r="BA223" s="304"/>
      <c r="BB223" s="304"/>
      <c r="BC223" s="304"/>
      <c r="BD223" s="304"/>
      <c r="BE223" s="304"/>
    </row>
    <row r="224" spans="2:59" s="31" customFormat="1" ht="15.5" x14ac:dyDescent="0.3">
      <c r="B224" s="9"/>
      <c r="C224" s="34"/>
      <c r="D224" s="84"/>
      <c r="G224" s="34" t="s">
        <v>43</v>
      </c>
      <c r="H224" s="84"/>
      <c r="K224" s="38" t="s">
        <v>329</v>
      </c>
      <c r="L224" s="38" t="s">
        <v>201</v>
      </c>
      <c r="M224" s="84"/>
      <c r="N224" s="84"/>
      <c r="O224" s="255" t="s">
        <v>644</v>
      </c>
      <c r="Q224" s="35"/>
      <c r="R224" s="44" t="s">
        <v>350</v>
      </c>
      <c r="S224" s="44"/>
      <c r="T224" s="44" t="s">
        <v>267</v>
      </c>
      <c r="U224" s="44" t="s">
        <v>268</v>
      </c>
      <c r="V224" s="44" t="s">
        <v>269</v>
      </c>
      <c r="W224" s="44" t="s">
        <v>272</v>
      </c>
      <c r="X224" s="44" t="s">
        <v>270</v>
      </c>
      <c r="Y224" s="44" t="s">
        <v>271</v>
      </c>
      <c r="Z224" s="44" t="s">
        <v>273</v>
      </c>
      <c r="AA224" s="225"/>
      <c r="AB224" s="44"/>
      <c r="AC224" s="44"/>
      <c r="AD224" s="44"/>
      <c r="AE224" s="44"/>
      <c r="AF224" s="44"/>
      <c r="AG224" s="44"/>
      <c r="AH224" s="44"/>
      <c r="AI224" s="44"/>
      <c r="AJ224" s="44"/>
      <c r="AK224" s="36"/>
      <c r="AL224" s="36"/>
      <c r="AM224" s="36"/>
      <c r="AN224" s="37"/>
      <c r="AO224" s="37"/>
      <c r="AP224" s="37"/>
      <c r="AQ224" s="37"/>
      <c r="AR224" s="37"/>
      <c r="AS224" s="37"/>
      <c r="AT224" s="37"/>
      <c r="AU224" s="37"/>
      <c r="AV224" s="37"/>
      <c r="AW224" s="37"/>
      <c r="AX224" s="37"/>
      <c r="AY224" s="37"/>
      <c r="AZ224" s="37"/>
      <c r="BA224" s="37"/>
      <c r="BB224" s="37"/>
      <c r="BC224" s="37"/>
      <c r="BD224" s="37"/>
      <c r="BE224" s="37"/>
    </row>
    <row r="225" spans="2:59" s="31" customFormat="1" ht="15.5" x14ac:dyDescent="0.3">
      <c r="B225" s="54" t="s">
        <v>582</v>
      </c>
      <c r="C225" s="160"/>
      <c r="D225" s="84" t="s">
        <v>234</v>
      </c>
      <c r="G225" s="160"/>
      <c r="H225" s="84" t="s">
        <v>44</v>
      </c>
      <c r="J225" s="33" t="s">
        <v>566</v>
      </c>
      <c r="K225" s="112">
        <f>IF(ISNUMBER(L225),L225,IF(C229=Pudotusvalikot!$J$4,Kalusto!$E$98,IF(C229=Pudotusvalikot!$J$5,Kalusto!$E$99,IF(C229=Pudotusvalikot!$J$6,Kalusto!$E$100,IF(C229=Pudotusvalikot!$J$7,Kalusto!$E$101,IF(C229=Pudotusvalikot!$J$8,Kalusto!$E$102,IF(C229=Pudotusvalikot!$J$9,Kalusto!$E$103,IF(C229=Pudotusvalikot!$J$11,Kalusto!$E$104,Kalusto!$E$98))))))))</f>
        <v>5.5</v>
      </c>
      <c r="L225" s="63"/>
      <c r="M225" s="77" t="str">
        <f>IF(C229=Pudotusvalikot!$J$9,"kWh/100 km",IF(C229=Pudotusvalikot!$J$6,"kg/100 km","l/100 km"))</f>
        <v>l/100 km</v>
      </c>
      <c r="N225" s="77"/>
      <c r="O225" s="256"/>
      <c r="Q225" s="35"/>
      <c r="R225" s="242">
        <f>SUM(U225:Z225)</f>
        <v>0</v>
      </c>
      <c r="S225" s="232" t="s">
        <v>172</v>
      </c>
      <c r="T225" s="216">
        <f>IF(ISNUMBER(C226*C225*G225),C226*C225*G225,"")</f>
        <v>0</v>
      </c>
      <c r="U225" s="218">
        <f>IF(ISNUMBER(T225),IF(C229=Pudotusvalikot!$J$5,(Muut!$H$15+Muut!$H$18)*(T225*K225/100),0),"")</f>
        <v>0</v>
      </c>
      <c r="V225" s="218">
        <f>IF(ISNUMBER(T225),IF(C229=Pudotusvalikot!$J$4,(Muut!$H$14+Muut!$H$17)*(T225*K225/100),0),"")</f>
        <v>0</v>
      </c>
      <c r="W225" s="218">
        <f>IF(ISNUMBER(T225),IF(C229=Pudotusvalikot!$J$6,(Muut!$H$16+Muut!$H$19)*(T225*K225/100),0),"")</f>
        <v>0</v>
      </c>
      <c r="X225" s="218">
        <f>IF(ISNUMBER(T225),IF(C229=Pudotusvalikot!$J$7,((Muut!$H$15+Muut!$H$18)*(100%-Kalusto!$O$101)+(Muut!$H$14+Muut!$H$17)*Kalusto!$O$101)*(T225*K225/100),0),"")</f>
        <v>0</v>
      </c>
      <c r="Y225" s="230">
        <f>IF(ISNUMBER(T225),IF(C229=Pudotusvalikot!$J$8,((Kalusto!$K$102)*(100%-Kalusto!$O$102)+(Kalusto!$M$102)*Kalusto!$O$102)*(Muut!$H$13+Muut!$H$12)/100*T225/1000+((Kalusto!$G$102)*(100%-Kalusto!$O$102)+(Kalusto!$I$102)*Kalusto!$O$102)*(K225+Muut!$H$18)/100*T225,0),"")</f>
        <v>0</v>
      </c>
      <c r="Z225" s="230">
        <f>IF(ISNUMBER(T225),IF(C229=Pudotusvalikot!$J$9,Kalusto!$E$103*(K225+Muut!$H$12)/100*T225/1000,0),"")</f>
        <v>0</v>
      </c>
      <c r="AA225" s="225"/>
      <c r="AB225" s="44"/>
      <c r="AC225" s="44"/>
      <c r="AD225" s="44"/>
      <c r="AE225" s="44"/>
      <c r="AF225" s="44"/>
      <c r="AG225" s="44"/>
      <c r="AH225" s="44"/>
      <c r="AI225" s="44"/>
      <c r="AJ225" s="44"/>
      <c r="AK225" s="36"/>
      <c r="AL225" s="36"/>
      <c r="AM225" s="36"/>
      <c r="AN225" s="37"/>
      <c r="AO225" s="37"/>
      <c r="AP225" s="37"/>
      <c r="AQ225" s="37"/>
      <c r="AR225" s="37"/>
      <c r="AS225" s="37"/>
      <c r="AT225" s="37"/>
      <c r="AU225" s="37"/>
      <c r="AV225" s="37"/>
      <c r="AW225" s="37"/>
      <c r="AX225" s="37"/>
      <c r="AY225" s="37"/>
      <c r="AZ225" s="37"/>
      <c r="BA225" s="37"/>
      <c r="BB225" s="37"/>
      <c r="BC225" s="37"/>
      <c r="BD225" s="37"/>
      <c r="BE225" s="37"/>
    </row>
    <row r="226" spans="2:59" s="31" customFormat="1" ht="15.5" x14ac:dyDescent="0.3">
      <c r="B226" s="45" t="s">
        <v>581</v>
      </c>
      <c r="C226" s="160"/>
      <c r="D226" s="84" t="s">
        <v>5</v>
      </c>
      <c r="G226" s="34"/>
      <c r="H226" s="84"/>
      <c r="K226" s="134"/>
      <c r="L226" s="38"/>
      <c r="M226" s="84"/>
      <c r="N226" s="84"/>
      <c r="O226" s="100"/>
      <c r="Q226" s="35"/>
      <c r="R226" s="44" t="s">
        <v>350</v>
      </c>
      <c r="S226" s="44"/>
      <c r="T226" s="44" t="s">
        <v>267</v>
      </c>
      <c r="U226" s="44" t="s">
        <v>268</v>
      </c>
      <c r="V226" s="44" t="s">
        <v>269</v>
      </c>
      <c r="W226" s="44" t="s">
        <v>272</v>
      </c>
      <c r="X226" s="44" t="s">
        <v>270</v>
      </c>
      <c r="Y226" s="44" t="s">
        <v>271</v>
      </c>
      <c r="Z226" s="44" t="s">
        <v>273</v>
      </c>
      <c r="AA226" s="225"/>
      <c r="AB226" s="44"/>
      <c r="AC226" s="44"/>
      <c r="AD226" s="44"/>
      <c r="AE226" s="44"/>
      <c r="AF226" s="44"/>
      <c r="AG226" s="44"/>
      <c r="AH226" s="44"/>
      <c r="AI226" s="44"/>
      <c r="AJ226" s="44"/>
      <c r="AK226" s="36"/>
      <c r="AL226" s="36"/>
      <c r="AM226" s="36"/>
      <c r="AN226" s="37"/>
      <c r="AO226" s="37"/>
      <c r="AP226" s="37"/>
      <c r="AQ226" s="37"/>
      <c r="AR226" s="37"/>
      <c r="AS226" s="37"/>
      <c r="AT226" s="37"/>
      <c r="AU226" s="37"/>
      <c r="AV226" s="37"/>
      <c r="AW226" s="37"/>
      <c r="AX226" s="37"/>
      <c r="AY226" s="37"/>
      <c r="AZ226" s="37"/>
      <c r="BA226" s="37"/>
      <c r="BB226" s="37"/>
      <c r="BC226" s="37"/>
      <c r="BD226" s="37"/>
      <c r="BE226" s="37"/>
    </row>
    <row r="227" spans="2:59" s="31" customFormat="1" ht="31" x14ac:dyDescent="0.3">
      <c r="B227" s="78" t="s">
        <v>580</v>
      </c>
      <c r="C227" s="160"/>
      <c r="D227" s="84" t="s">
        <v>235</v>
      </c>
      <c r="G227" s="160"/>
      <c r="H227" s="84" t="s">
        <v>44</v>
      </c>
      <c r="J227" s="33" t="s">
        <v>566</v>
      </c>
      <c r="K227" s="112">
        <f>IF(ISNUMBER(L227),L227,IF(C229=Pudotusvalikot!$J$4,Kalusto!$E$98,IF(C229=Pudotusvalikot!$J$5,Kalusto!$E$99,IF(C229=Pudotusvalikot!$J$6,Kalusto!$E$100,IF(C229=Pudotusvalikot!$J$7,Kalusto!$E$101,IF(C229=Pudotusvalikot!$J$8,Kalusto!$E$102,IF(C229=Pudotusvalikot!$J$9,Kalusto!$E$103,IF(C229=Pudotusvalikot!$J$11,Kalusto!$E$104,Kalusto!$E$98))))))))</f>
        <v>5.5</v>
      </c>
      <c r="L227" s="63"/>
      <c r="M227" s="77" t="str">
        <f>IF(C229=Pudotusvalikot!$J$9,"kWh/100 km",IF(C229=Pudotusvalikot!$J$6,"kg/100 km","l/100 km"))</f>
        <v>l/100 km</v>
      </c>
      <c r="N227" s="77"/>
      <c r="O227" s="269"/>
      <c r="Q227" s="35"/>
      <c r="R227" s="242">
        <f>SUM(U227:Z227)</f>
        <v>0</v>
      </c>
      <c r="S227" s="232" t="s">
        <v>172</v>
      </c>
      <c r="T227" s="216">
        <f>IF(ISNUMBER(C228*C227*50*G227),C228*C227*50*G227,"")</f>
        <v>0</v>
      </c>
      <c r="U227" s="218">
        <f>IF(ISNUMBER(T227),IF(C229=Pudotusvalikot!$J$5,(Muut!$H$15+Muut!$H$18)*(T227*K227/100),0),"")</f>
        <v>0</v>
      </c>
      <c r="V227" s="218">
        <f>IF(ISNUMBER(T227),IF(C229=Pudotusvalikot!$J$4,(Muut!$H$14+Muut!$H$17)*(T227*K227/100),0),"")</f>
        <v>0</v>
      </c>
      <c r="W227" s="218">
        <f>IF(ISNUMBER(T227),IF(C229=Pudotusvalikot!$J$6,(Muut!$H$16+Muut!$H$19)*(T227*K227/100),0),"")</f>
        <v>0</v>
      </c>
      <c r="X227" s="218">
        <f>IF(ISNUMBER(T227),IF(C229=Pudotusvalikot!$J$7,((Muut!$H$15+Muut!$H$18)*(100%-Kalusto!$O$101)+(Muut!$H$14+Muut!$H$17)*Kalusto!$O$101)*(T227*K227/100),0),"")</f>
        <v>0</v>
      </c>
      <c r="Y227" s="230">
        <f>IF(ISNUMBER(T227),IF(C229=Pudotusvalikot!$J$8,((Kalusto!$K$102)*(100%-Kalusto!$O$102)+(Kalusto!$M$102)*Kalusto!$O$102)*(Muut!$H$13+Muut!$H$12)/100*T227/1000+((Kalusto!$G$102)*(100%-Kalusto!$O$102)+(Kalusto!$I$102)*Kalusto!$O$102)*(K227+Muut!$H$18)/100*T227,0),"")</f>
        <v>0</v>
      </c>
      <c r="Z227" s="230">
        <f>IF(ISNUMBER(T227),IF(C229=Pudotusvalikot!$J$9,Kalusto!$E$103*(K227+Muut!$H$12)/100*T227/1000,0),"")</f>
        <v>0</v>
      </c>
      <c r="AA227" s="225"/>
      <c r="AB227" s="44"/>
      <c r="AC227" s="44"/>
      <c r="AD227" s="44"/>
      <c r="AE227" s="44"/>
      <c r="AF227" s="44"/>
      <c r="AG227" s="44"/>
      <c r="AH227" s="44"/>
      <c r="AI227" s="44"/>
      <c r="AJ227" s="44"/>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9" s="31" customFormat="1" ht="15.5" x14ac:dyDescent="0.3">
      <c r="B228" s="45" t="s">
        <v>579</v>
      </c>
      <c r="C228" s="160"/>
      <c r="D228" s="84" t="s">
        <v>5</v>
      </c>
      <c r="G228" s="34"/>
      <c r="H228" s="84"/>
      <c r="K228" s="134"/>
      <c r="L228" s="38"/>
      <c r="M228" s="84"/>
      <c r="N228" s="84"/>
      <c r="O228" s="100"/>
      <c r="Q228" s="35"/>
      <c r="R228" s="44" t="s">
        <v>350</v>
      </c>
      <c r="S228" s="44"/>
      <c r="T228" s="44" t="s">
        <v>267</v>
      </c>
      <c r="U228" s="44" t="s">
        <v>268</v>
      </c>
      <c r="V228" s="44" t="s">
        <v>269</v>
      </c>
      <c r="W228" s="44" t="s">
        <v>272</v>
      </c>
      <c r="X228" s="44" t="s">
        <v>270</v>
      </c>
      <c r="Y228" s="44" t="s">
        <v>271</v>
      </c>
      <c r="Z228" s="44" t="s">
        <v>273</v>
      </c>
      <c r="AA228" s="225"/>
      <c r="AB228" s="44"/>
      <c r="AC228" s="44"/>
      <c r="AD228" s="44"/>
      <c r="AE228" s="44"/>
      <c r="AF228" s="44"/>
      <c r="AG228" s="44"/>
      <c r="AH228" s="44"/>
      <c r="AI228" s="44"/>
      <c r="AJ228" s="44"/>
      <c r="AK228" s="36"/>
      <c r="AL228" s="36"/>
      <c r="AM228" s="36"/>
      <c r="AN228" s="37"/>
      <c r="AO228" s="37"/>
      <c r="AP228" s="37"/>
      <c r="AQ228" s="37"/>
      <c r="AR228" s="37"/>
      <c r="AS228" s="37"/>
      <c r="AT228" s="37"/>
      <c r="AU228" s="37"/>
      <c r="AV228" s="37"/>
      <c r="AW228" s="37"/>
      <c r="AX228" s="37"/>
      <c r="AY228" s="37"/>
      <c r="AZ228" s="37"/>
      <c r="BA228" s="37"/>
      <c r="BB228" s="37"/>
      <c r="BC228" s="37"/>
      <c r="BD228" s="37"/>
      <c r="BE228" s="37"/>
    </row>
    <row r="229" spans="2:59" s="31" customFormat="1" ht="15.5" x14ac:dyDescent="0.3">
      <c r="B229" s="54" t="s">
        <v>576</v>
      </c>
      <c r="C229" s="399" t="s">
        <v>242</v>
      </c>
      <c r="D229" s="399"/>
      <c r="G229" s="34"/>
      <c r="H229" s="84"/>
      <c r="J229" s="33"/>
      <c r="K229" s="34"/>
      <c r="L229" s="34"/>
      <c r="M229" s="84"/>
      <c r="N229" s="84"/>
      <c r="O229" s="100"/>
      <c r="Q229" s="35"/>
      <c r="R229" s="106"/>
      <c r="S229" s="44"/>
      <c r="T229" s="44"/>
      <c r="U229" s="44"/>
      <c r="V229" s="44"/>
      <c r="W229" s="44"/>
      <c r="X229" s="44"/>
      <c r="Y229" s="44"/>
      <c r="Z229" s="44"/>
      <c r="AA229" s="44"/>
      <c r="AB229" s="44"/>
      <c r="AC229" s="44"/>
      <c r="AD229" s="44"/>
      <c r="AE229" s="44"/>
      <c r="AF229" s="44"/>
      <c r="AG229" s="44"/>
      <c r="AH229" s="44"/>
      <c r="AI229" s="44"/>
      <c r="AJ229" s="44"/>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9" s="31" customFormat="1" ht="15.5" x14ac:dyDescent="0.3">
      <c r="B230" s="54"/>
      <c r="C230" s="54"/>
      <c r="D230" s="54"/>
      <c r="F230" s="54"/>
      <c r="G230" s="54"/>
      <c r="H230" s="54"/>
      <c r="I230" s="54"/>
      <c r="J230" s="33"/>
      <c r="K230" s="34"/>
      <c r="L230" s="34"/>
      <c r="M230" s="84"/>
      <c r="N230" s="84"/>
      <c r="O230" s="100"/>
      <c r="Q230" s="35"/>
      <c r="R230" s="106"/>
      <c r="S230" s="44"/>
      <c r="T230" s="44"/>
      <c r="U230" s="44"/>
      <c r="V230" s="44"/>
      <c r="W230" s="44"/>
      <c r="X230" s="44"/>
      <c r="Y230" s="44"/>
      <c r="Z230" s="44"/>
      <c r="AA230" s="44"/>
      <c r="AB230" s="44"/>
      <c r="AC230" s="44"/>
      <c r="AD230" s="44"/>
      <c r="AE230" s="44"/>
      <c r="AF230" s="44"/>
      <c r="AG230" s="44"/>
      <c r="AH230" s="44"/>
      <c r="AI230" s="44"/>
      <c r="AJ230" s="44"/>
      <c r="AK230" s="36"/>
      <c r="AL230" s="36"/>
      <c r="AM230" s="36"/>
      <c r="AN230" s="37"/>
      <c r="AO230" s="37"/>
      <c r="AP230" s="37"/>
      <c r="AQ230" s="37"/>
      <c r="AR230" s="37"/>
      <c r="AS230" s="37"/>
      <c r="AT230" s="37"/>
      <c r="AU230" s="37"/>
      <c r="AV230" s="37"/>
      <c r="AW230" s="37"/>
      <c r="AX230" s="37"/>
      <c r="AY230" s="37"/>
      <c r="AZ230" s="37"/>
      <c r="BA230" s="37"/>
      <c r="BB230" s="37"/>
      <c r="BC230" s="37"/>
      <c r="BD230" s="37"/>
      <c r="BE230" s="37"/>
    </row>
    <row r="231" spans="2:59" s="196" customFormat="1" ht="23" x14ac:dyDescent="0.3">
      <c r="B231" s="197" t="s">
        <v>322</v>
      </c>
      <c r="C231" s="198"/>
      <c r="D231" s="199"/>
      <c r="G231" s="198"/>
      <c r="H231" s="199"/>
      <c r="J231" s="200"/>
      <c r="O231" s="270"/>
      <c r="P231" s="201"/>
      <c r="Q231" s="202"/>
      <c r="R231" s="237"/>
      <c r="S231" s="248"/>
      <c r="T231" s="214"/>
      <c r="U231" s="215"/>
      <c r="V231" s="215"/>
      <c r="W231" s="215"/>
      <c r="X231" s="215"/>
      <c r="Y231" s="215"/>
      <c r="Z231" s="215"/>
      <c r="AA231" s="215"/>
      <c r="AB231" s="215"/>
      <c r="AC231" s="215"/>
      <c r="AD231" s="215"/>
      <c r="AE231" s="215"/>
      <c r="AF231" s="215"/>
      <c r="AG231" s="215"/>
      <c r="AH231" s="215"/>
      <c r="AI231" s="215"/>
      <c r="AJ231" s="215"/>
      <c r="AK231" s="205"/>
      <c r="AL231" s="205"/>
      <c r="AM231" s="205"/>
      <c r="AN231" s="205"/>
      <c r="AO231" s="205"/>
      <c r="AP231" s="204"/>
      <c r="AQ231" s="204"/>
      <c r="AR231" s="204"/>
      <c r="AS231" s="204"/>
      <c r="AT231" s="204"/>
      <c r="AU231" s="204"/>
      <c r="AV231" s="204"/>
      <c r="AW231" s="204"/>
      <c r="AX231" s="204"/>
      <c r="AY231" s="204"/>
      <c r="AZ231" s="204"/>
      <c r="BA231" s="204"/>
      <c r="BB231" s="204"/>
      <c r="BC231" s="204"/>
      <c r="BD231" s="204"/>
      <c r="BE231" s="204"/>
      <c r="BF231" s="204"/>
      <c r="BG231" s="204"/>
    </row>
    <row r="232" spans="2:59" s="31" customFormat="1" ht="15.5" x14ac:dyDescent="0.3">
      <c r="B232" s="9"/>
      <c r="C232" s="34"/>
      <c r="D232" s="84"/>
      <c r="G232" s="34"/>
      <c r="H232" s="84"/>
      <c r="K232" s="34"/>
      <c r="L232" s="34"/>
      <c r="M232" s="84"/>
      <c r="N232" s="84"/>
      <c r="O232" s="84"/>
      <c r="Q232" s="35"/>
      <c r="R232" s="106"/>
      <c r="S232" s="44"/>
      <c r="T232" s="44"/>
      <c r="U232" s="44"/>
      <c r="V232" s="44"/>
      <c r="W232" s="44"/>
      <c r="X232" s="44"/>
      <c r="Y232" s="44"/>
      <c r="Z232" s="44"/>
      <c r="AA232" s="44"/>
      <c r="AB232" s="44"/>
      <c r="AC232" s="44"/>
      <c r="AD232" s="44"/>
      <c r="AE232" s="44"/>
      <c r="AF232" s="44"/>
      <c r="AG232" s="44"/>
      <c r="AH232" s="44"/>
      <c r="AI232" s="44"/>
      <c r="AJ232" s="44"/>
      <c r="AK232" s="36"/>
      <c r="AL232" s="36"/>
      <c r="AM232" s="36"/>
      <c r="AN232" s="37"/>
      <c r="AO232" s="37"/>
      <c r="AP232" s="37"/>
      <c r="AQ232" s="37"/>
      <c r="AR232" s="37"/>
      <c r="AS232" s="37"/>
      <c r="AT232" s="37"/>
      <c r="AU232" s="37"/>
      <c r="AV232" s="37"/>
      <c r="AW232" s="37"/>
      <c r="AX232" s="37"/>
      <c r="AY232" s="37"/>
      <c r="AZ232" s="37"/>
      <c r="BA232" s="37"/>
      <c r="BB232" s="37"/>
      <c r="BC232" s="37"/>
      <c r="BD232" s="37"/>
      <c r="BE232" s="37"/>
    </row>
    <row r="233" spans="2:59" s="298" customFormat="1" ht="18" x14ac:dyDescent="0.3">
      <c r="B233" s="295" t="s">
        <v>486</v>
      </c>
      <c r="C233" s="296"/>
      <c r="D233" s="297"/>
      <c r="G233" s="296"/>
      <c r="H233" s="297"/>
      <c r="K233" s="296"/>
      <c r="L233" s="296"/>
      <c r="M233" s="297"/>
      <c r="N233" s="297"/>
      <c r="O233" s="300"/>
      <c r="P233" s="320"/>
      <c r="Q233" s="304"/>
      <c r="R233" s="298" t="str">
        <f>IF(OR(ISNUMBER(#REF!),ISNUMBER(#REF!),ISNUMBER(#REF!)),SUM(#REF!,#REF!,#REF!),"")</f>
        <v/>
      </c>
      <c r="S233" s="303"/>
      <c r="T233" s="303"/>
      <c r="U233" s="303"/>
      <c r="V233" s="303"/>
      <c r="W233" s="303"/>
      <c r="X233" s="303"/>
      <c r="Y233" s="303"/>
      <c r="Z233" s="303"/>
      <c r="AA233" s="303"/>
      <c r="AB233" s="303"/>
      <c r="AC233" s="303"/>
      <c r="AD233" s="303"/>
      <c r="AE233" s="303"/>
      <c r="AF233" s="303"/>
      <c r="AG233" s="303"/>
      <c r="AH233" s="303"/>
      <c r="AI233" s="303"/>
      <c r="AJ233" s="303"/>
      <c r="AK233" s="303"/>
      <c r="AL233" s="303"/>
      <c r="AM233" s="303"/>
      <c r="AN233" s="304"/>
      <c r="AO233" s="304"/>
      <c r="AP233" s="304"/>
      <c r="AQ233" s="304"/>
      <c r="AR233" s="304"/>
      <c r="AS233" s="304"/>
      <c r="AT233" s="304"/>
      <c r="AU233" s="304"/>
      <c r="AV233" s="304"/>
      <c r="AW233" s="304"/>
      <c r="AX233" s="304"/>
      <c r="AY233" s="304"/>
      <c r="AZ233" s="304"/>
      <c r="BA233" s="304"/>
      <c r="BB233" s="304"/>
      <c r="BC233" s="304"/>
      <c r="BD233" s="304"/>
      <c r="BE233" s="304"/>
    </row>
    <row r="234" spans="2:59" s="31" customFormat="1" ht="15.5" x14ac:dyDescent="0.3">
      <c r="C234" s="34"/>
      <c r="D234" s="84"/>
      <c r="G234" s="34"/>
      <c r="H234" s="84"/>
      <c r="K234" s="34"/>
      <c r="L234" s="34"/>
      <c r="M234" s="84"/>
      <c r="N234" s="84"/>
      <c r="O234" s="84"/>
      <c r="Q234" s="35"/>
      <c r="R234" s="106"/>
      <c r="S234" s="44"/>
      <c r="T234" s="44"/>
      <c r="U234" s="44"/>
      <c r="V234" s="44"/>
      <c r="W234" s="44"/>
      <c r="X234" s="44"/>
      <c r="Y234" s="44"/>
      <c r="Z234" s="44"/>
      <c r="AA234" s="44"/>
      <c r="AB234" s="44"/>
      <c r="AC234" s="44"/>
      <c r="AD234" s="44"/>
      <c r="AE234" s="44"/>
      <c r="AF234" s="44"/>
      <c r="AG234" s="44"/>
      <c r="AH234" s="44"/>
      <c r="AI234" s="44"/>
      <c r="AJ234" s="44"/>
      <c r="AK234" s="36"/>
      <c r="AL234" s="36"/>
      <c r="AM234" s="36"/>
      <c r="AN234" s="37"/>
      <c r="AO234" s="37"/>
      <c r="AP234" s="37"/>
      <c r="AQ234" s="37"/>
      <c r="AR234" s="37"/>
      <c r="AS234" s="37"/>
      <c r="AT234" s="37"/>
      <c r="AU234" s="37"/>
      <c r="AV234" s="37"/>
      <c r="AW234" s="37"/>
      <c r="AX234" s="37"/>
      <c r="AY234" s="37"/>
      <c r="AZ234" s="37"/>
      <c r="BA234" s="37"/>
      <c r="BB234" s="37"/>
      <c r="BC234" s="37"/>
      <c r="BD234" s="37"/>
      <c r="BE234" s="37"/>
      <c r="BF234" s="108"/>
      <c r="BG234" s="108"/>
    </row>
    <row r="235" spans="2:59" s="298" customFormat="1" ht="18" x14ac:dyDescent="0.3">
      <c r="B235" s="295" t="s">
        <v>55</v>
      </c>
      <c r="C235" s="296"/>
      <c r="D235" s="297"/>
      <c r="G235" s="296"/>
      <c r="H235" s="297"/>
      <c r="K235" s="296"/>
      <c r="L235" s="296"/>
      <c r="M235" s="297"/>
      <c r="N235" s="297"/>
      <c r="O235" s="300"/>
      <c r="P235" s="320"/>
      <c r="Q235" s="304"/>
      <c r="R235" s="298" t="str">
        <f>IF(OR(ISNUMBER(#REF!),ISNUMBER(#REF!),ISNUMBER(#REF!)),SUM(#REF!,#REF!,#REF!),"")</f>
        <v/>
      </c>
      <c r="S235" s="303"/>
      <c r="T235" s="303"/>
      <c r="U235" s="303"/>
      <c r="V235" s="303"/>
      <c r="W235" s="303"/>
      <c r="X235" s="303"/>
      <c r="Y235" s="303"/>
      <c r="Z235" s="303"/>
      <c r="AA235" s="303"/>
      <c r="AB235" s="303"/>
      <c r="AC235" s="303"/>
      <c r="AD235" s="303"/>
      <c r="AE235" s="303"/>
      <c r="AF235" s="303"/>
      <c r="AG235" s="303"/>
      <c r="AH235" s="303"/>
      <c r="AI235" s="303"/>
      <c r="AJ235" s="303"/>
      <c r="AK235" s="303"/>
      <c r="AL235" s="303"/>
      <c r="AM235" s="303"/>
      <c r="AN235" s="304"/>
      <c r="AO235" s="304"/>
      <c r="AP235" s="304"/>
      <c r="AQ235" s="304"/>
      <c r="AR235" s="304"/>
      <c r="AS235" s="304"/>
      <c r="AT235" s="304"/>
      <c r="AU235" s="304"/>
      <c r="AV235" s="304"/>
      <c r="AW235" s="304"/>
      <c r="AX235" s="304"/>
      <c r="AY235" s="304"/>
      <c r="AZ235" s="304"/>
      <c r="BA235" s="304"/>
      <c r="BB235" s="304"/>
      <c r="BC235" s="304"/>
      <c r="BD235" s="304"/>
      <c r="BE235" s="304"/>
    </row>
    <row r="236" spans="2:59" s="31" customFormat="1" ht="15.5" x14ac:dyDescent="0.3">
      <c r="B236" s="9"/>
      <c r="C236" s="34"/>
      <c r="D236" s="84"/>
      <c r="G236" s="34"/>
      <c r="H236" s="84"/>
      <c r="K236" s="34"/>
      <c r="L236" s="34"/>
      <c r="M236" s="84"/>
      <c r="N236" s="84"/>
      <c r="O236" s="84"/>
      <c r="Q236" s="35"/>
      <c r="R236" s="106"/>
      <c r="S236" s="44"/>
      <c r="T236" s="44"/>
      <c r="U236" s="44"/>
      <c r="V236" s="44"/>
      <c r="W236" s="44"/>
      <c r="X236" s="44"/>
      <c r="Y236" s="44"/>
      <c r="Z236" s="44"/>
      <c r="AA236" s="44"/>
      <c r="AB236" s="44"/>
      <c r="AC236" s="44"/>
      <c r="AD236" s="44"/>
      <c r="AE236" s="44"/>
      <c r="AF236" s="44"/>
      <c r="AG236" s="44"/>
      <c r="AH236" s="44"/>
      <c r="AI236" s="44"/>
      <c r="AJ236" s="44"/>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9" s="31" customFormat="1" ht="15.5" x14ac:dyDescent="0.3">
      <c r="B237" s="155" t="s">
        <v>487</v>
      </c>
      <c r="C237" s="34"/>
      <c r="D237" s="84"/>
      <c r="G237" s="34"/>
      <c r="H237" s="84"/>
      <c r="K237" s="38" t="s">
        <v>329</v>
      </c>
      <c r="L237" s="38" t="s">
        <v>201</v>
      </c>
      <c r="M237" s="84"/>
      <c r="N237" s="84"/>
      <c r="O237" s="255" t="s">
        <v>644</v>
      </c>
      <c r="Q237" s="35"/>
      <c r="R237" s="44" t="s">
        <v>350</v>
      </c>
      <c r="S237" s="44"/>
      <c r="T237" s="44" t="s">
        <v>275</v>
      </c>
      <c r="U237" s="225"/>
      <c r="V237" s="44"/>
      <c r="W237" s="44"/>
      <c r="X237" s="44"/>
      <c r="Y237" s="44"/>
      <c r="Z237" s="44"/>
      <c r="AA237" s="44"/>
      <c r="AB237" s="44"/>
      <c r="AC237" s="44"/>
      <c r="AD237" s="44"/>
      <c r="AE237" s="44"/>
      <c r="AF237" s="44"/>
      <c r="AG237" s="44"/>
      <c r="AH237" s="44"/>
      <c r="AI237" s="44"/>
      <c r="AJ237" s="44"/>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9" s="31" customFormat="1" ht="15.5" x14ac:dyDescent="0.3">
      <c r="B238" s="54" t="s">
        <v>510</v>
      </c>
      <c r="C238" s="392" t="s">
        <v>128</v>
      </c>
      <c r="D238" s="393"/>
      <c r="E238" s="393"/>
      <c r="F238" s="393"/>
      <c r="G238" s="394"/>
      <c r="H238" s="84"/>
      <c r="J238" s="33" t="s">
        <v>470</v>
      </c>
      <c r="K238" s="96">
        <f>IF(ISNUMBER(L238),L238,IF(OR(C238=Pudotusvalikot!$D$67,C238=Pudotusvalikot!$D$68),"--",VLOOKUP(C238,Kalusto!$C$5:$E$42,3,FALSE)*IF(OR(C239=Pudotusvalikot!$V$3,C239=Pudotusvalikot!$V$4),Muut!$E$38,IF(C239=Pudotusvalikot!$V$5,Muut!$E$39,IF(C239=Pudotusvalikot!$V$6,Muut!$E$40,Muut!$E$41)))))</f>
        <v>34.130000000000003</v>
      </c>
      <c r="L238" s="40"/>
      <c r="M238" s="41" t="s">
        <v>205</v>
      </c>
      <c r="N238" s="41"/>
      <c r="O238" s="256"/>
      <c r="Q238" s="35"/>
      <c r="R238" s="218" t="str">
        <f>IF(ISNUMBER(K238*T238),K238*T238,"")</f>
        <v/>
      </c>
      <c r="S238" s="232" t="s">
        <v>172</v>
      </c>
      <c r="T238" s="218" t="str">
        <f>IF(ISNUMBER(C240),C240,"")</f>
        <v/>
      </c>
      <c r="U238" s="225"/>
      <c r="V238" s="221"/>
      <c r="W238" s="44"/>
      <c r="X238" s="44"/>
      <c r="Y238" s="44"/>
      <c r="Z238" s="44"/>
      <c r="AA238" s="44"/>
      <c r="AB238" s="44"/>
      <c r="AC238" s="44"/>
      <c r="AD238" s="44"/>
      <c r="AE238" s="44"/>
      <c r="AF238" s="44"/>
      <c r="AG238" s="44"/>
      <c r="AH238" s="44"/>
      <c r="AI238" s="44"/>
      <c r="AJ238" s="44"/>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9" s="31" customFormat="1" ht="15.5" x14ac:dyDescent="0.3">
      <c r="B239" s="170" t="s">
        <v>509</v>
      </c>
      <c r="C239" s="160" t="s">
        <v>242</v>
      </c>
      <c r="D239" s="34"/>
      <c r="E239" s="34"/>
      <c r="F239" s="34"/>
      <c r="G239" s="34"/>
      <c r="H239" s="59"/>
      <c r="J239" s="173"/>
      <c r="K239" s="173"/>
      <c r="L239" s="173"/>
      <c r="M239" s="41"/>
      <c r="N239" s="41"/>
      <c r="O239" s="265"/>
      <c r="Q239" s="47"/>
      <c r="R239" s="221"/>
      <c r="S239" s="232"/>
      <c r="T239" s="44"/>
      <c r="U239" s="44"/>
      <c r="V239" s="220"/>
      <c r="W239" s="220"/>
      <c r="X239" s="221"/>
      <c r="Y239" s="44"/>
      <c r="Z239" s="221"/>
      <c r="AA239" s="222"/>
      <c r="AB239" s="221"/>
      <c r="AC239" s="221"/>
      <c r="AD239" s="221"/>
      <c r="AE239" s="221"/>
      <c r="AF239" s="222"/>
      <c r="AG239" s="221"/>
      <c r="AH239" s="44"/>
      <c r="AI239" s="44"/>
      <c r="AJ239" s="44"/>
      <c r="AK239" s="108"/>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9" s="31" customFormat="1" ht="15.5" x14ac:dyDescent="0.3">
      <c r="B240" s="54" t="s">
        <v>473</v>
      </c>
      <c r="C240" s="193"/>
      <c r="D240" s="84" t="s">
        <v>51</v>
      </c>
      <c r="G240" s="34"/>
      <c r="H240" s="84"/>
      <c r="J240" s="33"/>
      <c r="K240" s="34"/>
      <c r="L240" s="34"/>
      <c r="M240" s="84"/>
      <c r="N240" s="84"/>
      <c r="O240" s="100"/>
      <c r="Q240" s="35"/>
      <c r="R240" s="44"/>
      <c r="S240" s="44"/>
      <c r="T240" s="44"/>
      <c r="U240" s="225"/>
      <c r="V240" s="44"/>
      <c r="W240" s="44"/>
      <c r="X240" s="44"/>
      <c r="Y240" s="44"/>
      <c r="Z240" s="44"/>
      <c r="AA240" s="44"/>
      <c r="AB240" s="44"/>
      <c r="AC240" s="44"/>
      <c r="AD240" s="44"/>
      <c r="AE240" s="44"/>
      <c r="AF240" s="44"/>
      <c r="AG240" s="44"/>
      <c r="AH240" s="44"/>
      <c r="AI240" s="44"/>
      <c r="AJ240" s="44"/>
      <c r="AK240" s="36"/>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7" s="31" customFormat="1" ht="15.5" x14ac:dyDescent="0.3">
      <c r="B241" s="155" t="s">
        <v>488</v>
      </c>
      <c r="C241" s="34"/>
      <c r="D241" s="84"/>
      <c r="G241" s="34"/>
      <c r="H241" s="84"/>
      <c r="J241" s="33"/>
      <c r="K241" s="38" t="s">
        <v>329</v>
      </c>
      <c r="L241" s="38" t="s">
        <v>201</v>
      </c>
      <c r="M241" s="84"/>
      <c r="N241" s="84"/>
      <c r="O241" s="100"/>
      <c r="Q241" s="35"/>
      <c r="R241" s="44" t="s">
        <v>350</v>
      </c>
      <c r="S241" s="44"/>
      <c r="T241" s="44" t="s">
        <v>275</v>
      </c>
      <c r="U241" s="225"/>
      <c r="V241" s="44"/>
      <c r="W241" s="44"/>
      <c r="X241" s="44"/>
      <c r="Y241" s="44"/>
      <c r="Z241" s="44"/>
      <c r="AA241" s="44"/>
      <c r="AB241" s="44"/>
      <c r="AC241" s="44"/>
      <c r="AD241" s="44"/>
      <c r="AE241" s="44"/>
      <c r="AF241" s="44"/>
      <c r="AG241" s="44"/>
      <c r="AH241" s="44"/>
      <c r="AI241" s="44"/>
      <c r="AJ241" s="44"/>
      <c r="AK241" s="36"/>
      <c r="AL241" s="36"/>
      <c r="AM241" s="36"/>
      <c r="AN241" s="37"/>
      <c r="AO241" s="37"/>
      <c r="AP241" s="37"/>
      <c r="AQ241" s="37"/>
      <c r="AR241" s="37"/>
      <c r="AS241" s="37"/>
      <c r="AT241" s="37"/>
      <c r="AU241" s="37"/>
      <c r="AV241" s="37"/>
      <c r="AW241" s="37"/>
      <c r="AX241" s="37"/>
      <c r="AY241" s="37"/>
      <c r="AZ241" s="37"/>
      <c r="BA241" s="37"/>
      <c r="BB241" s="37"/>
      <c r="BC241" s="37"/>
      <c r="BD241" s="37"/>
      <c r="BE241" s="37"/>
    </row>
    <row r="242" spans="2:57" s="31" customFormat="1" ht="15.5" x14ac:dyDescent="0.3">
      <c r="B242" s="54" t="s">
        <v>510</v>
      </c>
      <c r="C242" s="392" t="s">
        <v>128</v>
      </c>
      <c r="D242" s="393"/>
      <c r="E242" s="393"/>
      <c r="F242" s="393"/>
      <c r="G242" s="394"/>
      <c r="H242" s="84"/>
      <c r="J242" s="33" t="s">
        <v>470</v>
      </c>
      <c r="K242" s="96">
        <f>IF(ISNUMBER(L242),L242,IF(OR(C242=Pudotusvalikot!$D$67,C242=Pudotusvalikot!$D$68),"--",VLOOKUP(C242,Kalusto!$C$5:$E$42,3,FALSE)*IF(OR(C243=Pudotusvalikot!$V$3,C243=Pudotusvalikot!$V$4),Muut!$E$38,IF(C243=Pudotusvalikot!$V$5,Muut!$E$39,IF(C243=Pudotusvalikot!$V$6,Muut!$E$40,Muut!$E$41)))))</f>
        <v>34.130000000000003</v>
      </c>
      <c r="L242" s="40"/>
      <c r="M242" s="41" t="s">
        <v>205</v>
      </c>
      <c r="N242" s="41"/>
      <c r="O242" s="265"/>
      <c r="Q242" s="35"/>
      <c r="R242" s="218" t="str">
        <f>IF(ISNUMBER(K242*T242),K242*T242,"")</f>
        <v/>
      </c>
      <c r="S242" s="232" t="s">
        <v>172</v>
      </c>
      <c r="T242" s="218" t="str">
        <f>IF(ISNUMBER(C244),C244,"")</f>
        <v/>
      </c>
      <c r="U242" s="225"/>
      <c r="V242" s="221"/>
      <c r="W242" s="44"/>
      <c r="X242" s="44"/>
      <c r="Y242" s="44"/>
      <c r="Z242" s="44"/>
      <c r="AA242" s="44"/>
      <c r="AB242" s="44"/>
      <c r="AC242" s="44"/>
      <c r="AD242" s="44"/>
      <c r="AE242" s="44"/>
      <c r="AF242" s="44"/>
      <c r="AG242" s="44"/>
      <c r="AH242" s="44"/>
      <c r="AI242" s="44"/>
      <c r="AJ242" s="44"/>
      <c r="AK242" s="36"/>
      <c r="AL242" s="36"/>
      <c r="AM242" s="36"/>
      <c r="AN242" s="37"/>
      <c r="AO242" s="37"/>
      <c r="AP242" s="37"/>
      <c r="AQ242" s="37"/>
      <c r="AR242" s="37"/>
      <c r="AS242" s="37"/>
      <c r="AT242" s="37"/>
      <c r="AU242" s="37"/>
      <c r="AV242" s="37"/>
      <c r="AW242" s="37"/>
      <c r="AX242" s="37"/>
      <c r="AY242" s="37"/>
      <c r="AZ242" s="37"/>
      <c r="BA242" s="37"/>
      <c r="BB242" s="37"/>
      <c r="BC242" s="37"/>
      <c r="BD242" s="37"/>
      <c r="BE242" s="37"/>
    </row>
    <row r="243" spans="2:57" s="31" customFormat="1" ht="15.5" x14ac:dyDescent="0.3">
      <c r="B243" s="170" t="s">
        <v>509</v>
      </c>
      <c r="C243" s="160" t="s">
        <v>242</v>
      </c>
      <c r="D243" s="34"/>
      <c r="E243" s="34"/>
      <c r="F243" s="34"/>
      <c r="G243" s="34"/>
      <c r="H243" s="59"/>
      <c r="J243" s="173"/>
      <c r="K243" s="173"/>
      <c r="L243" s="173"/>
      <c r="M243" s="41"/>
      <c r="N243" s="41"/>
      <c r="O243" s="265"/>
      <c r="Q243" s="47"/>
      <c r="R243" s="221"/>
      <c r="S243" s="232"/>
      <c r="T243" s="44"/>
      <c r="U243" s="44"/>
      <c r="V243" s="220"/>
      <c r="W243" s="220"/>
      <c r="X243" s="221"/>
      <c r="Y243" s="44"/>
      <c r="Z243" s="221"/>
      <c r="AA243" s="222"/>
      <c r="AB243" s="221"/>
      <c r="AC243" s="221"/>
      <c r="AD243" s="221"/>
      <c r="AE243" s="221"/>
      <c r="AF243" s="222"/>
      <c r="AG243" s="221"/>
      <c r="AH243" s="44"/>
      <c r="AI243" s="44"/>
      <c r="AJ243" s="44"/>
      <c r="AK243" s="108"/>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7" s="31" customFormat="1" ht="15.5" x14ac:dyDescent="0.3">
      <c r="B244" s="54" t="s">
        <v>473</v>
      </c>
      <c r="C244" s="193"/>
      <c r="D244" s="84" t="s">
        <v>51</v>
      </c>
      <c r="G244" s="34"/>
      <c r="H244" s="84"/>
      <c r="J244" s="33"/>
      <c r="K244" s="34"/>
      <c r="L244" s="34"/>
      <c r="M244" s="84"/>
      <c r="N244" s="84"/>
      <c r="O244" s="100"/>
      <c r="Q244" s="35"/>
      <c r="R244" s="44"/>
      <c r="S244" s="44"/>
      <c r="T244" s="44"/>
      <c r="U244" s="225"/>
      <c r="V244" s="44"/>
      <c r="W244" s="44"/>
      <c r="X244" s="44"/>
      <c r="Y244" s="44"/>
      <c r="Z244" s="44"/>
      <c r="AA244" s="44"/>
      <c r="AB244" s="44"/>
      <c r="AC244" s="44"/>
      <c r="AD244" s="44"/>
      <c r="AE244" s="44"/>
      <c r="AF244" s="44"/>
      <c r="AG244" s="44"/>
      <c r="AH244" s="44"/>
      <c r="AI244" s="44"/>
      <c r="AJ244" s="44"/>
      <c r="AK244" s="36"/>
      <c r="AL244" s="36"/>
      <c r="AM244" s="36"/>
      <c r="AN244" s="37"/>
      <c r="AO244" s="37"/>
      <c r="AP244" s="37"/>
      <c r="AQ244" s="37"/>
      <c r="AR244" s="37"/>
      <c r="AS244" s="37"/>
      <c r="AT244" s="37"/>
      <c r="AU244" s="37"/>
      <c r="AV244" s="37"/>
      <c r="AW244" s="37"/>
      <c r="AX244" s="37"/>
      <c r="AY244" s="37"/>
      <c r="AZ244" s="37"/>
      <c r="BA244" s="37"/>
      <c r="BB244" s="37"/>
      <c r="BC244" s="37"/>
      <c r="BD244" s="37"/>
      <c r="BE244" s="37"/>
    </row>
    <row r="245" spans="2:57" s="31" customFormat="1" ht="15.5" x14ac:dyDescent="0.3">
      <c r="B245" s="155" t="s">
        <v>489</v>
      </c>
      <c r="C245" s="34"/>
      <c r="D245" s="84"/>
      <c r="G245" s="34"/>
      <c r="H245" s="84"/>
      <c r="J245" s="33"/>
      <c r="K245" s="38" t="s">
        <v>329</v>
      </c>
      <c r="L245" s="38" t="s">
        <v>201</v>
      </c>
      <c r="M245" s="84"/>
      <c r="N245" s="84"/>
      <c r="O245" s="100"/>
      <c r="Q245" s="35"/>
      <c r="R245" s="44" t="s">
        <v>350</v>
      </c>
      <c r="S245" s="44"/>
      <c r="T245" s="44" t="s">
        <v>275</v>
      </c>
      <c r="U245" s="225"/>
      <c r="V245" s="44"/>
      <c r="W245" s="44"/>
      <c r="X245" s="44"/>
      <c r="Y245" s="44"/>
      <c r="Z245" s="44"/>
      <c r="AA245" s="44"/>
      <c r="AB245" s="44"/>
      <c r="AC245" s="44"/>
      <c r="AD245" s="44"/>
      <c r="AE245" s="44"/>
      <c r="AF245" s="44"/>
      <c r="AG245" s="44"/>
      <c r="AH245" s="44"/>
      <c r="AI245" s="44"/>
      <c r="AJ245" s="44"/>
      <c r="AK245" s="36"/>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7" s="31" customFormat="1" ht="15.5" x14ac:dyDescent="0.3">
      <c r="B246" s="54" t="s">
        <v>510</v>
      </c>
      <c r="C246" s="392" t="s">
        <v>128</v>
      </c>
      <c r="D246" s="393"/>
      <c r="E246" s="393"/>
      <c r="F246" s="393"/>
      <c r="G246" s="394"/>
      <c r="H246" s="84"/>
      <c r="J246" s="33" t="s">
        <v>470</v>
      </c>
      <c r="K246" s="96">
        <f>IF(ISNUMBER(L246),L246,IF(OR(C246=Pudotusvalikot!$D$67,C246=Pudotusvalikot!$D$68),"--",VLOOKUP(C246,Kalusto!$C$5:$E$42,3,FALSE)*IF(OR(C247=Pudotusvalikot!$V$3,C247=Pudotusvalikot!$V$4),Muut!$E$38,IF(C247=Pudotusvalikot!$V$5,Muut!$E$39,IF(C247=Pudotusvalikot!$V$6,Muut!$E$40,Muut!$E$41)))))</f>
        <v>34.130000000000003</v>
      </c>
      <c r="L246" s="40"/>
      <c r="M246" s="41" t="s">
        <v>205</v>
      </c>
      <c r="N246" s="41"/>
      <c r="O246" s="265"/>
      <c r="Q246" s="35"/>
      <c r="R246" s="218" t="str">
        <f>IF(ISNUMBER(K246*T246),K246*T246,"")</f>
        <v/>
      </c>
      <c r="S246" s="232" t="s">
        <v>172</v>
      </c>
      <c r="T246" s="218" t="str">
        <f>IF(ISNUMBER(C248),C248,"")</f>
        <v/>
      </c>
      <c r="U246" s="225"/>
      <c r="V246" s="221"/>
      <c r="W246" s="44"/>
      <c r="X246" s="44"/>
      <c r="Y246" s="44"/>
      <c r="Z246" s="44"/>
      <c r="AA246" s="44"/>
      <c r="AB246" s="44"/>
      <c r="AC246" s="44"/>
      <c r="AD246" s="44"/>
      <c r="AE246" s="44"/>
      <c r="AF246" s="44"/>
      <c r="AG246" s="44"/>
      <c r="AH246" s="44"/>
      <c r="AI246" s="44"/>
      <c r="AJ246" s="44"/>
      <c r="AK246" s="36"/>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7" s="31" customFormat="1" ht="15.5" x14ac:dyDescent="0.3">
      <c r="B247" s="170" t="s">
        <v>509</v>
      </c>
      <c r="C247" s="160" t="s">
        <v>242</v>
      </c>
      <c r="D247" s="34"/>
      <c r="E247" s="34"/>
      <c r="F247" s="34"/>
      <c r="G247" s="34"/>
      <c r="H247" s="59"/>
      <c r="J247" s="173"/>
      <c r="K247" s="173"/>
      <c r="L247" s="173"/>
      <c r="M247" s="41"/>
      <c r="N247" s="41"/>
      <c r="O247" s="265"/>
      <c r="Q247" s="47"/>
      <c r="R247" s="221"/>
      <c r="S247" s="232"/>
      <c r="T247" s="44"/>
      <c r="U247" s="44"/>
      <c r="V247" s="220"/>
      <c r="W247" s="220"/>
      <c r="X247" s="221"/>
      <c r="Y247" s="44"/>
      <c r="Z247" s="221"/>
      <c r="AA247" s="222"/>
      <c r="AB247" s="221"/>
      <c r="AC247" s="221"/>
      <c r="AD247" s="221"/>
      <c r="AE247" s="221"/>
      <c r="AF247" s="222"/>
      <c r="AG247" s="221"/>
      <c r="AH247" s="44"/>
      <c r="AI247" s="44"/>
      <c r="AJ247" s="44"/>
      <c r="AK247" s="108"/>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7" s="31" customFormat="1" ht="15.5" x14ac:dyDescent="0.3">
      <c r="B248" s="54" t="s">
        <v>473</v>
      </c>
      <c r="C248" s="193"/>
      <c r="D248" s="84" t="s">
        <v>51</v>
      </c>
      <c r="G248" s="34"/>
      <c r="H248" s="84"/>
      <c r="J248" s="33"/>
      <c r="K248" s="34"/>
      <c r="L248" s="34"/>
      <c r="M248" s="84"/>
      <c r="N248" s="84"/>
      <c r="O248" s="100"/>
      <c r="Q248" s="35"/>
      <c r="R248" s="106"/>
      <c r="S248" s="44"/>
      <c r="T248" s="44"/>
      <c r="U248" s="44"/>
      <c r="V248" s="44"/>
      <c r="W248" s="44"/>
      <c r="X248" s="44"/>
      <c r="Y248" s="44"/>
      <c r="Z248" s="44"/>
      <c r="AA248" s="44"/>
      <c r="AB248" s="44"/>
      <c r="AC248" s="44"/>
      <c r="AD248" s="44"/>
      <c r="AE248" s="44"/>
      <c r="AF248" s="44"/>
      <c r="AG248" s="44"/>
      <c r="AH248" s="44"/>
      <c r="AI248" s="44"/>
      <c r="AJ248" s="44"/>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7" s="31" customFormat="1" ht="15.5" x14ac:dyDescent="0.3">
      <c r="C249" s="34"/>
      <c r="D249" s="84"/>
      <c r="G249" s="34"/>
      <c r="H249" s="84"/>
      <c r="K249" s="34"/>
      <c r="L249" s="34"/>
      <c r="M249" s="84"/>
      <c r="N249" s="84"/>
      <c r="O249" s="84"/>
      <c r="Q249" s="35"/>
      <c r="R249" s="106"/>
      <c r="S249" s="44"/>
      <c r="T249" s="44"/>
      <c r="U249" s="44"/>
      <c r="V249" s="44"/>
      <c r="W249" s="44"/>
      <c r="X249" s="44"/>
      <c r="Y249" s="44"/>
      <c r="Z249" s="44"/>
      <c r="AA249" s="44"/>
      <c r="AB249" s="44"/>
      <c r="AC249" s="44"/>
      <c r="AD249" s="44"/>
      <c r="AE249" s="44"/>
      <c r="AF249" s="44"/>
      <c r="AG249" s="44"/>
      <c r="AH249" s="44"/>
      <c r="AI249" s="44"/>
      <c r="AJ249" s="44"/>
      <c r="AK249" s="36"/>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7" s="298" customFormat="1" ht="18" x14ac:dyDescent="0.3">
      <c r="B250" s="295" t="s">
        <v>745</v>
      </c>
      <c r="C250" s="296"/>
      <c r="D250" s="297"/>
      <c r="G250" s="296"/>
      <c r="H250" s="297"/>
      <c r="K250" s="296"/>
      <c r="L250" s="296"/>
      <c r="M250" s="297"/>
      <c r="N250" s="297"/>
      <c r="O250" s="300"/>
      <c r="P250" s="320"/>
      <c r="Q250" s="304"/>
      <c r="R250" s="298" t="str">
        <f>IF(OR(ISNUMBER(#REF!),ISNUMBER(#REF!),ISNUMBER(#REF!),ISNUMBER(#REF!),ISNUMBER(#REF!)),SUM(#REF!,#REF!,#REF!,#REF!,#REF!),"")</f>
        <v/>
      </c>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4"/>
      <c r="AO250" s="304"/>
      <c r="AP250" s="304"/>
      <c r="AQ250" s="304"/>
      <c r="AR250" s="304"/>
      <c r="AS250" s="304"/>
      <c r="AT250" s="304"/>
      <c r="AU250" s="304"/>
      <c r="AV250" s="304"/>
      <c r="AW250" s="304"/>
      <c r="AX250" s="304"/>
      <c r="AY250" s="304"/>
      <c r="AZ250" s="304"/>
      <c r="BA250" s="304"/>
      <c r="BB250" s="304"/>
      <c r="BC250" s="304"/>
      <c r="BD250" s="304"/>
      <c r="BE250" s="304"/>
    </row>
    <row r="251" spans="2:57" s="31" customFormat="1" ht="15.5" x14ac:dyDescent="0.3">
      <c r="B251" s="9"/>
      <c r="C251" s="34"/>
      <c r="D251" s="84"/>
      <c r="E251" s="34"/>
      <c r="F251" s="34"/>
      <c r="G251" s="38"/>
      <c r="H251" s="84"/>
      <c r="J251" s="33"/>
      <c r="K251" s="38"/>
      <c r="L251" s="38"/>
      <c r="M251" s="86"/>
      <c r="N251" s="86"/>
      <c r="O251" s="86"/>
      <c r="P251" s="38"/>
      <c r="Q251" s="35"/>
      <c r="R251" s="106"/>
      <c r="S251" s="44"/>
      <c r="T251" s="44"/>
      <c r="U251" s="44"/>
      <c r="V251" s="44"/>
      <c r="W251" s="44"/>
      <c r="X251" s="44"/>
      <c r="Y251" s="44"/>
      <c r="Z251" s="44"/>
      <c r="AA251" s="44"/>
      <c r="AB251" s="44"/>
      <c r="AC251" s="44"/>
      <c r="AD251" s="44"/>
      <c r="AE251" s="44"/>
      <c r="AF251" s="44"/>
      <c r="AG251" s="44"/>
      <c r="AH251" s="44"/>
      <c r="AI251" s="44"/>
      <c r="AJ251" s="44"/>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7" s="31" customFormat="1" ht="15.5" x14ac:dyDescent="0.3">
      <c r="B252" s="155" t="s">
        <v>0</v>
      </c>
      <c r="C252" s="34" t="s">
        <v>50</v>
      </c>
      <c r="D252" s="84"/>
      <c r="E252" s="34"/>
      <c r="F252" s="34"/>
      <c r="G252" s="38" t="s">
        <v>199</v>
      </c>
      <c r="H252" s="84"/>
      <c r="J252" s="33"/>
      <c r="K252" s="38" t="s">
        <v>329</v>
      </c>
      <c r="L252" s="38" t="s">
        <v>201</v>
      </c>
      <c r="M252" s="86"/>
      <c r="N252" s="86"/>
      <c r="O252" s="255" t="s">
        <v>644</v>
      </c>
      <c r="P252" s="38"/>
      <c r="Q252" s="35"/>
      <c r="R252" s="44" t="s">
        <v>350</v>
      </c>
      <c r="S252" s="44"/>
      <c r="T252" s="44" t="s">
        <v>446</v>
      </c>
      <c r="U252" s="44" t="s">
        <v>445</v>
      </c>
      <c r="V252" s="44" t="s">
        <v>443</v>
      </c>
      <c r="W252" s="44" t="s">
        <v>444</v>
      </c>
      <c r="X252" s="44" t="s">
        <v>447</v>
      </c>
      <c r="Y252" s="44" t="s">
        <v>449</v>
      </c>
      <c r="Z252" s="44" t="s">
        <v>448</v>
      </c>
      <c r="AA252" s="44" t="s">
        <v>202</v>
      </c>
      <c r="AB252" s="44" t="s">
        <v>380</v>
      </c>
      <c r="AC252" s="44" t="s">
        <v>450</v>
      </c>
      <c r="AD252" s="44" t="s">
        <v>381</v>
      </c>
      <c r="AE252" s="44" t="s">
        <v>451</v>
      </c>
      <c r="AF252" s="44" t="s">
        <v>452</v>
      </c>
      <c r="AG252" s="44" t="s">
        <v>638</v>
      </c>
      <c r="AH252" s="44" t="s">
        <v>206</v>
      </c>
      <c r="AI252" s="44" t="s">
        <v>278</v>
      </c>
      <c r="AJ252" s="44" t="s">
        <v>207</v>
      </c>
      <c r="AK252" s="108"/>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7" s="31" customFormat="1" ht="46.5" x14ac:dyDescent="0.3">
      <c r="B253" s="170" t="s">
        <v>553</v>
      </c>
      <c r="C253" s="160"/>
      <c r="D253" s="89" t="s">
        <v>52</v>
      </c>
      <c r="E253" s="59"/>
      <c r="F253" s="57"/>
      <c r="G253" s="161"/>
      <c r="H253" s="84" t="str">
        <f>IF(D253="t","","t/m3")</f>
        <v/>
      </c>
      <c r="J253" s="173" t="s">
        <v>441</v>
      </c>
      <c r="K253" s="96">
        <f>IF(ISNUMBER(L253),L253,IF(OR(C254=Pudotusvalikot!$D$14,C254=Pudotusvalikot!$D$15),Kalusto!$G$96,VLOOKUP(C254,Kalusto!$C$44:$G$83,5,FALSE))*IF(OR(C255=Pudotusvalikot!$V$3,C255=Pudotusvalikot!$V$4),Muut!$E$38,IF(C255=Pudotusvalikot!$V$5,Muut!$E$39,IF(C255=Pudotusvalikot!$V$6,Muut!$E$40,Muut!$E$41))))</f>
        <v>5.7709999999999997E-2</v>
      </c>
      <c r="L253" s="40"/>
      <c r="M253" s="41" t="s">
        <v>200</v>
      </c>
      <c r="N253" s="41"/>
      <c r="O253" s="256"/>
      <c r="Q253" s="47"/>
      <c r="R253" s="218" t="str">
        <f ca="1">IF(AND(NOT(ISNUMBER(AB253)),NOT(ISNUMBER(AG253))),"",IF(ISNUMBER(AB253),AB253,0)+IF(ISNUMBER(AG253),AG253,0))</f>
        <v/>
      </c>
      <c r="S253" s="232" t="s">
        <v>172</v>
      </c>
      <c r="T253" s="216" t="str">
        <f>IF(ISNUMBER(L253),"Kohdetieto",IF(OR(C254=Pudotusvalikot!$D$14,C254=Pudotusvalikot!$D$15),Kalusto!$I$96,VLOOKUP(C254,Kalusto!$C$44:$L$83,7,FALSE)))</f>
        <v>Maansiirtoauto</v>
      </c>
      <c r="U253" s="216">
        <f>IF(ISNUMBER(L253),"Kohdetieto",IF(OR(C254=Pudotusvalikot!$D$14,C254=Pudotusvalikot!$D$15),Kalusto!$J$96,VLOOKUP(C254,Kalusto!$C$44:$L$83,8,FALSE)))</f>
        <v>32</v>
      </c>
      <c r="V253" s="217">
        <f>IF(ISNUMBER(L253),"Kohdetieto",IF(OR(C254=Pudotusvalikot!$D$14,C254=Pudotusvalikot!$D$15),Kalusto!$K$96,VLOOKUP(C254,Kalusto!$C$44:$L$83,9,FALSE)))</f>
        <v>0.8</v>
      </c>
      <c r="W253" s="217" t="str">
        <f>IF(ISNUMBER(L253),"Kohdetieto",IF(OR(C254=Pudotusvalikot!$D$14,C254=Pudotusvalikot!$D$15),Kalusto!$L$96,VLOOKUP(C254,Kalusto!$C$44:$L$83,10,FALSE)))</f>
        <v>maantieajo</v>
      </c>
      <c r="X253" s="218" t="str">
        <f>IF(ISBLANK(C253),"",IF(D253="t",C253,C253*G253))</f>
        <v/>
      </c>
      <c r="Y253" s="216" t="str">
        <f>IF(ISNUMBER(C256),C256,"")</f>
        <v/>
      </c>
      <c r="Z253" s="218" t="str">
        <f>IF(ISNUMBER(X253/(U253*V253)*Y253),X253/(U253*V253)*Y253,"")</f>
        <v/>
      </c>
      <c r="AA253" s="219">
        <f>IF(ISNUMBER(L253),L253,K253)</f>
        <v>5.7709999999999997E-2</v>
      </c>
      <c r="AB253" s="218" t="str">
        <f>IF(ISNUMBER(Y253*X253*K253),Y253*X253*K253,"")</f>
        <v/>
      </c>
      <c r="AC253" s="218" t="str">
        <f>IF(ISNUMBER(Y253),Y253,"")</f>
        <v/>
      </c>
      <c r="AD253" s="218" t="str">
        <f>IF(ISNUMBER(X253),IF(ISNUMBER(X253/(U253*V253)),CEILING(X253/(U253*V253),1),""),"")</f>
        <v/>
      </c>
      <c r="AE253" s="218" t="str">
        <f>IF(ISNUMBER(AD253*AC253),AD253*AC253,"")</f>
        <v/>
      </c>
      <c r="AF253" s="219">
        <f ca="1">IF(ISNUMBER(L254),L254,K254)</f>
        <v>0.71940999999999999</v>
      </c>
      <c r="AG253" s="218" t="str">
        <f ca="1">IF(ISNUMBER(AC253*AD253*K254),AC253*AD253*K254,"")</f>
        <v/>
      </c>
      <c r="AH253" s="216">
        <f>IF(T253="Jakelukuorma-auto",0,IF(T253="Maansiirtoauto",4,IF(T253="Puoliperävaunu",6,8)))</f>
        <v>4</v>
      </c>
      <c r="AI253" s="216">
        <f>IF(AND(T253="Jakelukuorma-auto",U253=6),0,IF(AND(T253="Jakelukuorma-auto",U253=15),2,0))</f>
        <v>0</v>
      </c>
      <c r="AJ253" s="216">
        <f>IF(W253="maantieajo",0,1)</f>
        <v>0</v>
      </c>
      <c r="AK253" s="108"/>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7" s="31" customFormat="1" ht="31" x14ac:dyDescent="0.3">
      <c r="B254" s="170" t="s">
        <v>550</v>
      </c>
      <c r="C254" s="392" t="s">
        <v>330</v>
      </c>
      <c r="D254" s="393"/>
      <c r="E254" s="393"/>
      <c r="F254" s="393"/>
      <c r="G254" s="394"/>
      <c r="J254" s="33" t="s">
        <v>442</v>
      </c>
      <c r="K254" s="96">
        <f ca="1">IF(ISNUMBER(L254),L254,IF($C$100="Ei","",IF(AND($C$100="Kyllä",OR(C254=Pudotusvalikot!$D$14,C254=Pudotusvalikot!$D$15)),Kalusto!$G$97,OFFSET(Kalusto!$G$85,AH253+AJ253+AI253,0,1,1)))*IF(OR(C255=Pudotusvalikot!$V$3,C255=Pudotusvalikot!$V$4),Muut!$E$38,IF(C255=Pudotusvalikot!$V$5,Muut!$E$39,IF(C255=Pudotusvalikot!$V$6,Muut!$E$40,Muut!$E$41))))</f>
        <v>0.71940999999999999</v>
      </c>
      <c r="L254" s="40"/>
      <c r="M254" s="41" t="s">
        <v>204</v>
      </c>
      <c r="N254" s="41"/>
      <c r="O254" s="265"/>
      <c r="P254" s="34"/>
      <c r="Q254" s="52"/>
      <c r="R254" s="44"/>
      <c r="S254" s="44"/>
      <c r="T254" s="44"/>
      <c r="U254" s="44"/>
      <c r="V254" s="44"/>
      <c r="W254" s="44"/>
      <c r="X254" s="44"/>
      <c r="Y254" s="44"/>
      <c r="Z254" s="44"/>
      <c r="AA254" s="44"/>
      <c r="AB254" s="44"/>
      <c r="AC254" s="44"/>
      <c r="AD254" s="44"/>
      <c r="AE254" s="44"/>
      <c r="AF254" s="44"/>
      <c r="AG254" s="44"/>
      <c r="AH254" s="44"/>
      <c r="AI254" s="44"/>
      <c r="AJ254" s="44"/>
      <c r="AK254" s="108"/>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7" s="31" customFormat="1" ht="15.5" x14ac:dyDescent="0.3">
      <c r="B255" s="186" t="s">
        <v>506</v>
      </c>
      <c r="C255" s="160" t="s">
        <v>242</v>
      </c>
      <c r="D255" s="34"/>
      <c r="E255" s="34"/>
      <c r="F255" s="34"/>
      <c r="G255" s="34"/>
      <c r="H255" s="59"/>
      <c r="J255" s="173"/>
      <c r="K255" s="173"/>
      <c r="L255" s="173"/>
      <c r="M255" s="41"/>
      <c r="N255" s="41"/>
      <c r="O255" s="265"/>
      <c r="Q255" s="47"/>
      <c r="R255" s="232"/>
      <c r="S255" s="232"/>
      <c r="T255" s="44"/>
      <c r="U255" s="44"/>
      <c r="V255" s="220"/>
      <c r="W255" s="220"/>
      <c r="X255" s="221"/>
      <c r="Y255" s="44"/>
      <c r="Z255" s="221"/>
      <c r="AA255" s="222"/>
      <c r="AB255" s="221"/>
      <c r="AC255" s="221"/>
      <c r="AD255" s="221"/>
      <c r="AE255" s="221"/>
      <c r="AF255" s="222"/>
      <c r="AG255" s="221"/>
      <c r="AH255" s="44"/>
      <c r="AI255" s="44"/>
      <c r="AJ255" s="44"/>
      <c r="AK255" s="108"/>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7" s="31" customFormat="1" ht="15.5" x14ac:dyDescent="0.3">
      <c r="B256" s="45" t="s">
        <v>549</v>
      </c>
      <c r="C256" s="160"/>
      <c r="D256" s="84" t="s">
        <v>5</v>
      </c>
      <c r="G256" s="34"/>
      <c r="H256" s="54"/>
      <c r="I256" s="53"/>
      <c r="J256" s="53"/>
      <c r="K256" s="34"/>
      <c r="L256" s="34"/>
      <c r="M256" s="84"/>
      <c r="N256" s="84"/>
      <c r="O256" s="100"/>
      <c r="P256" s="53"/>
      <c r="Q256" s="52"/>
      <c r="R256" s="44"/>
      <c r="S256" s="44"/>
      <c r="T256" s="44"/>
      <c r="U256" s="44"/>
      <c r="V256" s="44"/>
      <c r="W256" s="44"/>
      <c r="X256" s="44"/>
      <c r="Y256" s="44"/>
      <c r="Z256" s="44"/>
      <c r="AA256" s="44"/>
      <c r="AB256" s="44"/>
      <c r="AC256" s="44"/>
      <c r="AD256" s="44"/>
      <c r="AE256" s="44"/>
      <c r="AF256" s="44"/>
      <c r="AG256" s="44"/>
      <c r="AH256" s="44"/>
      <c r="AI256" s="44"/>
      <c r="AJ256" s="44"/>
      <c r="AK256" s="108"/>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15.5" x14ac:dyDescent="0.3">
      <c r="B257" s="155" t="s">
        <v>1</v>
      </c>
      <c r="C257" s="34"/>
      <c r="D257" s="84"/>
      <c r="E257" s="34"/>
      <c r="F257" s="34"/>
      <c r="G257" s="38"/>
      <c r="H257" s="84"/>
      <c r="J257" s="33"/>
      <c r="K257" s="38" t="s">
        <v>329</v>
      </c>
      <c r="L257" s="38" t="s">
        <v>201</v>
      </c>
      <c r="M257" s="84"/>
      <c r="N257" s="84"/>
      <c r="O257" s="100"/>
      <c r="P257" s="34"/>
      <c r="Q257" s="35"/>
      <c r="R257" s="44" t="s">
        <v>350</v>
      </c>
      <c r="S257" s="44"/>
      <c r="T257" s="44" t="s">
        <v>446</v>
      </c>
      <c r="U257" s="44" t="s">
        <v>445</v>
      </c>
      <c r="V257" s="44" t="s">
        <v>443</v>
      </c>
      <c r="W257" s="44" t="s">
        <v>444</v>
      </c>
      <c r="X257" s="44" t="s">
        <v>447</v>
      </c>
      <c r="Y257" s="44" t="s">
        <v>449</v>
      </c>
      <c r="Z257" s="44" t="s">
        <v>448</v>
      </c>
      <c r="AA257" s="44" t="s">
        <v>202</v>
      </c>
      <c r="AB257" s="44" t="s">
        <v>380</v>
      </c>
      <c r="AC257" s="44" t="s">
        <v>450</v>
      </c>
      <c r="AD257" s="44" t="s">
        <v>381</v>
      </c>
      <c r="AE257" s="44" t="s">
        <v>451</v>
      </c>
      <c r="AF257" s="44" t="s">
        <v>452</v>
      </c>
      <c r="AG257" s="44" t="s">
        <v>638</v>
      </c>
      <c r="AH257" s="44" t="s">
        <v>206</v>
      </c>
      <c r="AI257" s="44" t="s">
        <v>278</v>
      </c>
      <c r="AJ257" s="44" t="s">
        <v>207</v>
      </c>
      <c r="AK257" s="108"/>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46.5" x14ac:dyDescent="0.3">
      <c r="B258" s="170" t="s">
        <v>553</v>
      </c>
      <c r="C258" s="160"/>
      <c r="D258" s="89" t="s">
        <v>52</v>
      </c>
      <c r="E258" s="59"/>
      <c r="F258" s="57"/>
      <c r="G258" s="161"/>
      <c r="H258" s="84" t="str">
        <f>IF(D258="t","","t/m3")</f>
        <v/>
      </c>
      <c r="J258" s="173" t="s">
        <v>441</v>
      </c>
      <c r="K258" s="96">
        <f>IF(ISNUMBER(L258),L258,IF(OR(C259=Pudotusvalikot!$D$14,C259=Pudotusvalikot!$D$15),Kalusto!$G$96,VLOOKUP(C259,Kalusto!$C$44:$G$83,5,FALSE))*IF(OR(C260=Pudotusvalikot!$V$3,C260=Pudotusvalikot!$V$4),Muut!$E$38,IF(C260=Pudotusvalikot!$V$5,Muut!$E$39,IF(C260=Pudotusvalikot!$V$6,Muut!$E$40,Muut!$E$41))))</f>
        <v>5.7709999999999997E-2</v>
      </c>
      <c r="L258" s="40"/>
      <c r="M258" s="41" t="s">
        <v>200</v>
      </c>
      <c r="N258" s="41"/>
      <c r="O258" s="265"/>
      <c r="Q258" s="47"/>
      <c r="R258" s="218" t="str">
        <f ca="1">IF(AND(NOT(ISNUMBER(AB258)),NOT(ISNUMBER(AG258))),"",IF(ISNUMBER(AB258),AB258,0)+IF(ISNUMBER(AG258),AG258,0))</f>
        <v/>
      </c>
      <c r="S258" s="232" t="s">
        <v>172</v>
      </c>
      <c r="T258" s="216" t="str">
        <f>IF(ISNUMBER(L258),"Kohdetieto",IF(OR(C259=Pudotusvalikot!$D$14,C259=Pudotusvalikot!$D$15),Kalusto!$I$96,VLOOKUP(C259,Kalusto!$C$44:$L$83,7,FALSE)))</f>
        <v>Maansiirtoauto</v>
      </c>
      <c r="U258" s="216">
        <f>IF(ISNUMBER(L258),"Kohdetieto",IF(OR(C259=Pudotusvalikot!$D$14,C259=Pudotusvalikot!$D$15),Kalusto!$J$96,VLOOKUP(C259,Kalusto!$C$44:$L$83,8,FALSE)))</f>
        <v>32</v>
      </c>
      <c r="V258" s="217">
        <f>IF(ISNUMBER(L258),"Kohdetieto",IF(OR(C259=Pudotusvalikot!$D$14,C259=Pudotusvalikot!$D$15),Kalusto!$K$96,VLOOKUP(C259,Kalusto!$C$44:$L$83,9,FALSE)))</f>
        <v>0.8</v>
      </c>
      <c r="W258" s="217" t="str">
        <f>IF(ISNUMBER(L258),"Kohdetieto",IF(OR(C259=Pudotusvalikot!$D$14,C259=Pudotusvalikot!$D$15),Kalusto!$L$96,VLOOKUP(C259,Kalusto!$C$44:$L$83,10,FALSE)))</f>
        <v>maantieajo</v>
      </c>
      <c r="X258" s="218" t="str">
        <f>IF(ISBLANK(C258),"",IF(D258="t",C258,C258*G258))</f>
        <v/>
      </c>
      <c r="Y258" s="216" t="str">
        <f>IF(ISNUMBER(C261),C261,"")</f>
        <v/>
      </c>
      <c r="Z258" s="218" t="str">
        <f>IF(ISNUMBER(X258/(U258*V258)*Y258),X258/(U258*V258)*Y258,"")</f>
        <v/>
      </c>
      <c r="AA258" s="219">
        <f>IF(ISNUMBER(L258),L258,K258)</f>
        <v>5.7709999999999997E-2</v>
      </c>
      <c r="AB258" s="218" t="str">
        <f>IF(ISNUMBER(Y258*X258*K258),Y258*X258*K258,"")</f>
        <v/>
      </c>
      <c r="AC258" s="218" t="str">
        <f>IF(ISNUMBER(Y258),Y258,"")</f>
        <v/>
      </c>
      <c r="AD258" s="218" t="str">
        <f>IF(ISNUMBER(X258),IF(ISNUMBER(X258/(U258*V258)),CEILING(X258/(U258*V258),1),""),"")</f>
        <v/>
      </c>
      <c r="AE258" s="218" t="str">
        <f>IF(ISNUMBER(AD258*AC258),AD258*AC258,"")</f>
        <v/>
      </c>
      <c r="AF258" s="219">
        <f ca="1">IF(ISNUMBER(L259),L259,K259)</f>
        <v>0.71940999999999999</v>
      </c>
      <c r="AG258" s="218" t="str">
        <f ca="1">IF(ISNUMBER(AC258*AD258*K259),AC258*AD258*K259,"")</f>
        <v/>
      </c>
      <c r="AH258" s="216">
        <f>IF(T258="Jakelukuorma-auto",0,IF(T258="Maansiirtoauto",4,IF(T258="Puoliperävaunu",6,8)))</f>
        <v>4</v>
      </c>
      <c r="AI258" s="216">
        <f>IF(AND(T258="Jakelukuorma-auto",U258=6),0,IF(AND(T258="Jakelukuorma-auto",U258=15),2,0))</f>
        <v>0</v>
      </c>
      <c r="AJ258" s="216">
        <f>IF(W258="maantieajo",0,1)</f>
        <v>0</v>
      </c>
      <c r="AK258" s="108"/>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31" x14ac:dyDescent="0.3">
      <c r="B259" s="170" t="s">
        <v>550</v>
      </c>
      <c r="C259" s="392" t="s">
        <v>330</v>
      </c>
      <c r="D259" s="393"/>
      <c r="E259" s="393"/>
      <c r="F259" s="393"/>
      <c r="G259" s="394"/>
      <c r="H259" s="31" t="s">
        <v>203</v>
      </c>
      <c r="J259" s="33" t="s">
        <v>442</v>
      </c>
      <c r="K259" s="96">
        <f ca="1">IF(ISNUMBER(L259),L259,IF($C$100="Ei","",IF(AND($C$100="Kyllä",OR(C259=Pudotusvalikot!$D$14,C259=Pudotusvalikot!$D$15)),Kalusto!$G$97,OFFSET(Kalusto!$G$85,AH258+AJ258+AI258,0,1,1)))*IF(OR(C260=Pudotusvalikot!$V$3,C260=Pudotusvalikot!$V$4),Muut!$E$38,IF(C260=Pudotusvalikot!$V$5,Muut!$E$39,IF(C260=Pudotusvalikot!$V$6,Muut!$E$40,Muut!$E$41))))</f>
        <v>0.71940999999999999</v>
      </c>
      <c r="L259" s="40"/>
      <c r="M259" s="41" t="s">
        <v>204</v>
      </c>
      <c r="N259" s="41"/>
      <c r="O259" s="265"/>
      <c r="P259" s="34"/>
      <c r="Q259" s="52"/>
      <c r="R259" s="44"/>
      <c r="S259" s="44"/>
      <c r="T259" s="44"/>
      <c r="U259" s="44"/>
      <c r="V259" s="44"/>
      <c r="W259" s="44"/>
      <c r="X259" s="44"/>
      <c r="Y259" s="44"/>
      <c r="Z259" s="44"/>
      <c r="AA259" s="44"/>
      <c r="AB259" s="44"/>
      <c r="AC259" s="44"/>
      <c r="AD259" s="44"/>
      <c r="AE259" s="44"/>
      <c r="AF259" s="44"/>
      <c r="AG259" s="44"/>
      <c r="AH259" s="44"/>
      <c r="AI259" s="44"/>
      <c r="AJ259" s="44"/>
      <c r="AK259" s="108"/>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15.5" x14ac:dyDescent="0.3">
      <c r="B260" s="186" t="s">
        <v>506</v>
      </c>
      <c r="C260" s="160" t="s">
        <v>242</v>
      </c>
      <c r="D260" s="34"/>
      <c r="E260" s="34"/>
      <c r="F260" s="34"/>
      <c r="G260" s="34"/>
      <c r="H260" s="59"/>
      <c r="J260" s="173"/>
      <c r="K260" s="173"/>
      <c r="L260" s="173"/>
      <c r="M260" s="41"/>
      <c r="N260" s="41"/>
      <c r="O260" s="265"/>
      <c r="Q260" s="47"/>
      <c r="R260" s="232"/>
      <c r="S260" s="232"/>
      <c r="T260" s="44"/>
      <c r="U260" s="44"/>
      <c r="V260" s="220"/>
      <c r="W260" s="220"/>
      <c r="X260" s="221"/>
      <c r="Y260" s="44"/>
      <c r="Z260" s="221"/>
      <c r="AA260" s="222"/>
      <c r="AB260" s="221"/>
      <c r="AC260" s="221"/>
      <c r="AD260" s="221"/>
      <c r="AE260" s="221"/>
      <c r="AF260" s="222"/>
      <c r="AG260" s="221"/>
      <c r="AH260" s="44"/>
      <c r="AI260" s="44"/>
      <c r="AJ260" s="44"/>
      <c r="AK260" s="108"/>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31" customFormat="1" ht="15.5" x14ac:dyDescent="0.3">
      <c r="B261" s="45" t="s">
        <v>549</v>
      </c>
      <c r="C261" s="160"/>
      <c r="D261" s="84" t="s">
        <v>5</v>
      </c>
      <c r="G261" s="34"/>
      <c r="H261" s="54"/>
      <c r="I261" s="53"/>
      <c r="J261" s="53"/>
      <c r="K261" s="34"/>
      <c r="L261" s="34"/>
      <c r="M261" s="84"/>
      <c r="N261" s="84"/>
      <c r="O261" s="100"/>
      <c r="P261" s="53"/>
      <c r="Q261" s="52"/>
      <c r="R261" s="44"/>
      <c r="S261" s="44"/>
      <c r="T261" s="44"/>
      <c r="U261" s="44"/>
      <c r="V261" s="44"/>
      <c r="W261" s="44"/>
      <c r="X261" s="44"/>
      <c r="Y261" s="44"/>
      <c r="Z261" s="44"/>
      <c r="AA261" s="44"/>
      <c r="AB261" s="44"/>
      <c r="AC261" s="44"/>
      <c r="AD261" s="44"/>
      <c r="AE261" s="44"/>
      <c r="AF261" s="44"/>
      <c r="AG261" s="44"/>
      <c r="AH261" s="44"/>
      <c r="AI261" s="44"/>
      <c r="AJ261" s="44"/>
      <c r="AK261" s="108"/>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15.5" x14ac:dyDescent="0.3">
      <c r="B262" s="155" t="s">
        <v>2</v>
      </c>
      <c r="C262" s="34"/>
      <c r="D262" s="84"/>
      <c r="E262" s="34"/>
      <c r="F262" s="34"/>
      <c r="G262" s="38"/>
      <c r="H262" s="84"/>
      <c r="J262" s="33"/>
      <c r="K262" s="38" t="s">
        <v>329</v>
      </c>
      <c r="L262" s="38" t="s">
        <v>201</v>
      </c>
      <c r="M262" s="84"/>
      <c r="N262" s="84"/>
      <c r="O262" s="100"/>
      <c r="P262" s="34"/>
      <c r="Q262" s="35"/>
      <c r="R262" s="44" t="s">
        <v>350</v>
      </c>
      <c r="S262" s="44"/>
      <c r="T262" s="44" t="s">
        <v>446</v>
      </c>
      <c r="U262" s="44" t="s">
        <v>445</v>
      </c>
      <c r="V262" s="44" t="s">
        <v>443</v>
      </c>
      <c r="W262" s="44" t="s">
        <v>444</v>
      </c>
      <c r="X262" s="44" t="s">
        <v>447</v>
      </c>
      <c r="Y262" s="44" t="s">
        <v>449</v>
      </c>
      <c r="Z262" s="44" t="s">
        <v>448</v>
      </c>
      <c r="AA262" s="44" t="s">
        <v>202</v>
      </c>
      <c r="AB262" s="44" t="s">
        <v>380</v>
      </c>
      <c r="AC262" s="44" t="s">
        <v>450</v>
      </c>
      <c r="AD262" s="44" t="s">
        <v>381</v>
      </c>
      <c r="AE262" s="44" t="s">
        <v>451</v>
      </c>
      <c r="AF262" s="44" t="s">
        <v>452</v>
      </c>
      <c r="AG262" s="44" t="s">
        <v>638</v>
      </c>
      <c r="AH262" s="44" t="s">
        <v>206</v>
      </c>
      <c r="AI262" s="44" t="s">
        <v>278</v>
      </c>
      <c r="AJ262" s="44" t="s">
        <v>207</v>
      </c>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46.5" x14ac:dyDescent="0.3">
      <c r="B263" s="170" t="s">
        <v>553</v>
      </c>
      <c r="C263" s="160"/>
      <c r="D263" s="89" t="s">
        <v>52</v>
      </c>
      <c r="E263" s="59"/>
      <c r="F263" s="57"/>
      <c r="G263" s="161"/>
      <c r="H263" s="84" t="str">
        <f>IF(D263="t","","t/m3")</f>
        <v/>
      </c>
      <c r="J263" s="173" t="s">
        <v>441</v>
      </c>
      <c r="K263" s="96">
        <f>IF(ISNUMBER(L263),L263,IF(OR(C264=Pudotusvalikot!$D$14,C264=Pudotusvalikot!$D$15),Kalusto!$G$96,VLOOKUP(C264,Kalusto!$C$44:$G$83,5,FALSE))*IF(OR(C265=Pudotusvalikot!$V$3,C265=Pudotusvalikot!$V$4),Muut!$E$38,IF(C265=Pudotusvalikot!$V$5,Muut!$E$39,IF(C265=Pudotusvalikot!$V$6,Muut!$E$40,Muut!$E$41))))</f>
        <v>5.7709999999999997E-2</v>
      </c>
      <c r="L263" s="40"/>
      <c r="M263" s="41" t="s">
        <v>200</v>
      </c>
      <c r="N263" s="41"/>
      <c r="O263" s="265"/>
      <c r="Q263" s="47"/>
      <c r="R263" s="218" t="str">
        <f ca="1">IF(AND(NOT(ISNUMBER(AB263)),NOT(ISNUMBER(AG263))),"",IF(ISNUMBER(AB263),AB263,0)+IF(ISNUMBER(AG263),AG263,0))</f>
        <v/>
      </c>
      <c r="S263" s="232" t="s">
        <v>172</v>
      </c>
      <c r="T263" s="216" t="str">
        <f>IF(ISNUMBER(L263),"Kohdetieto",IF(OR(C264=Pudotusvalikot!$D$14,C264=Pudotusvalikot!$D$15),Kalusto!$I$96,VLOOKUP(C264,Kalusto!$C$44:$L$83,7,FALSE)))</f>
        <v>Maansiirtoauto</v>
      </c>
      <c r="U263" s="216">
        <f>IF(ISNUMBER(L263),"Kohdetieto",IF(OR(C264=Pudotusvalikot!$D$14,C264=Pudotusvalikot!$D$15),Kalusto!$J$96,VLOOKUP(C264,Kalusto!$C$44:$L$83,8,FALSE)))</f>
        <v>32</v>
      </c>
      <c r="V263" s="217">
        <f>IF(ISNUMBER(L263),"Kohdetieto",IF(OR(C264=Pudotusvalikot!$D$14,C264=Pudotusvalikot!$D$15),Kalusto!$K$96,VLOOKUP(C264,Kalusto!$C$44:$L$83,9,FALSE)))</f>
        <v>0.8</v>
      </c>
      <c r="W263" s="217" t="str">
        <f>IF(ISNUMBER(L263),"Kohdetieto",IF(OR(C264=Pudotusvalikot!$D$14,C264=Pudotusvalikot!$D$15),Kalusto!$L$96,VLOOKUP(C264,Kalusto!$C$44:$L$83,10,FALSE)))</f>
        <v>maantieajo</v>
      </c>
      <c r="X263" s="218" t="str">
        <f>IF(ISBLANK(C263),"",IF(D263="t",C263,C263*G263))</f>
        <v/>
      </c>
      <c r="Y263" s="216" t="str">
        <f>IF(ISNUMBER(C266),C266,"")</f>
        <v/>
      </c>
      <c r="Z263" s="218" t="str">
        <f>IF(ISNUMBER(X263/(U263*V263)*Y263),X263/(U263*V263)*Y263,"")</f>
        <v/>
      </c>
      <c r="AA263" s="219">
        <f>IF(ISNUMBER(L263),L263,K263)</f>
        <v>5.7709999999999997E-2</v>
      </c>
      <c r="AB263" s="218" t="str">
        <f>IF(ISNUMBER(Y263*X263*K263),Y263*X263*K263,"")</f>
        <v/>
      </c>
      <c r="AC263" s="218" t="str">
        <f>IF(ISNUMBER(Y263),Y263,"")</f>
        <v/>
      </c>
      <c r="AD263" s="218" t="str">
        <f>IF(ISNUMBER(X263),IF(ISNUMBER(X263/(U263*V263)),CEILING(X263/(U263*V263),1),""),"")</f>
        <v/>
      </c>
      <c r="AE263" s="218" t="str">
        <f>IF(ISNUMBER(AD263*AC263),AD263*AC263,"")</f>
        <v/>
      </c>
      <c r="AF263" s="219">
        <f ca="1">IF(ISNUMBER(L264),L264,K264)</f>
        <v>0.71940999999999999</v>
      </c>
      <c r="AG263" s="218" t="str">
        <f ca="1">IF(ISNUMBER(AC263*AD263*K264),AC263*AD263*K264,"")</f>
        <v/>
      </c>
      <c r="AH263" s="216">
        <f>IF(T263="Jakelukuorma-auto",0,IF(T263="Maansiirtoauto",4,IF(T263="Puoliperävaunu",6,8)))</f>
        <v>4</v>
      </c>
      <c r="AI263" s="216">
        <f>IF(AND(T263="Jakelukuorma-auto",U263=6),0,IF(AND(T263="Jakelukuorma-auto",U263=15),2,0))</f>
        <v>0</v>
      </c>
      <c r="AJ263" s="216">
        <f>IF(W263="maantieajo",0,1)</f>
        <v>0</v>
      </c>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31" x14ac:dyDescent="0.3">
      <c r="B264" s="170" t="s">
        <v>550</v>
      </c>
      <c r="C264" s="392" t="s">
        <v>330</v>
      </c>
      <c r="D264" s="393"/>
      <c r="E264" s="393"/>
      <c r="F264" s="393"/>
      <c r="G264" s="394"/>
      <c r="J264" s="33" t="s">
        <v>442</v>
      </c>
      <c r="K264" s="96">
        <f ca="1">IF(ISNUMBER(L264),L264,IF($C$100="Ei","",IF(AND($C$100="Kyllä",OR(C264=Pudotusvalikot!$D$14,C264=Pudotusvalikot!$D$15)),Kalusto!$G$97,OFFSET(Kalusto!$G$85,AH263+AJ263+AI263,0,1,1)))*IF(OR(C265=Pudotusvalikot!$V$3,C265=Pudotusvalikot!$V$4),Muut!$E$38,IF(C265=Pudotusvalikot!$V$5,Muut!$E$39,IF(C265=Pudotusvalikot!$V$6,Muut!$E$40,Muut!$E$41))))</f>
        <v>0.71940999999999999</v>
      </c>
      <c r="L264" s="40"/>
      <c r="M264" s="41" t="s">
        <v>204</v>
      </c>
      <c r="N264" s="41"/>
      <c r="O264" s="265"/>
      <c r="P264" s="34"/>
      <c r="Q264" s="52"/>
      <c r="R264" s="44"/>
      <c r="S264" s="44"/>
      <c r="T264" s="44"/>
      <c r="U264" s="44"/>
      <c r="V264" s="44"/>
      <c r="W264" s="44"/>
      <c r="X264" s="44"/>
      <c r="Y264" s="44"/>
      <c r="Z264" s="44"/>
      <c r="AA264" s="44"/>
      <c r="AB264" s="44"/>
      <c r="AC264" s="44"/>
      <c r="AD264" s="44"/>
      <c r="AE264" s="44"/>
      <c r="AF264" s="44"/>
      <c r="AG264" s="44"/>
      <c r="AH264" s="44"/>
      <c r="AI264" s="44"/>
      <c r="AJ264" s="44"/>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15.5" x14ac:dyDescent="0.3">
      <c r="B265" s="186" t="s">
        <v>506</v>
      </c>
      <c r="C265" s="160" t="s">
        <v>242</v>
      </c>
      <c r="D265" s="34"/>
      <c r="E265" s="34"/>
      <c r="F265" s="34"/>
      <c r="G265" s="34"/>
      <c r="H265" s="59"/>
      <c r="J265" s="173"/>
      <c r="K265" s="173"/>
      <c r="L265" s="173"/>
      <c r="M265" s="41"/>
      <c r="N265" s="41"/>
      <c r="O265" s="265"/>
      <c r="Q265" s="47"/>
      <c r="R265" s="232"/>
      <c r="S265" s="232"/>
      <c r="T265" s="44"/>
      <c r="U265" s="44"/>
      <c r="V265" s="220"/>
      <c r="W265" s="220"/>
      <c r="X265" s="221"/>
      <c r="Y265" s="44"/>
      <c r="Z265" s="221"/>
      <c r="AA265" s="222"/>
      <c r="AB265" s="221"/>
      <c r="AC265" s="221"/>
      <c r="AD265" s="221"/>
      <c r="AE265" s="221"/>
      <c r="AF265" s="222"/>
      <c r="AG265" s="221"/>
      <c r="AH265" s="44"/>
      <c r="AI265" s="44"/>
      <c r="AJ265" s="44"/>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5" x14ac:dyDescent="0.3">
      <c r="B266" s="45" t="s">
        <v>549</v>
      </c>
      <c r="C266" s="160"/>
      <c r="D266" s="84" t="s">
        <v>5</v>
      </c>
      <c r="G266" s="34"/>
      <c r="H266" s="84"/>
      <c r="I266" s="53"/>
      <c r="J266" s="53"/>
      <c r="K266" s="34"/>
      <c r="L266" s="34"/>
      <c r="M266" s="84"/>
      <c r="N266" s="84"/>
      <c r="O266" s="100"/>
      <c r="P266" s="53"/>
      <c r="Q266" s="52"/>
      <c r="R266" s="44"/>
      <c r="S266" s="44"/>
      <c r="T266" s="44"/>
      <c r="U266" s="44"/>
      <c r="V266" s="44"/>
      <c r="W266" s="44"/>
      <c r="X266" s="44"/>
      <c r="Y266" s="44"/>
      <c r="Z266" s="44"/>
      <c r="AA266" s="44"/>
      <c r="AB266" s="44"/>
      <c r="AC266" s="44"/>
      <c r="AD266" s="44"/>
      <c r="AE266" s="44"/>
      <c r="AF266" s="44"/>
      <c r="AG266" s="44"/>
      <c r="AH266" s="44"/>
      <c r="AI266" s="44"/>
      <c r="AJ266" s="44"/>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15.5" x14ac:dyDescent="0.3">
      <c r="B267" s="155" t="s">
        <v>3</v>
      </c>
      <c r="C267" s="34"/>
      <c r="D267" s="84"/>
      <c r="E267" s="34"/>
      <c r="F267" s="34"/>
      <c r="G267" s="38"/>
      <c r="H267" s="84"/>
      <c r="J267" s="33"/>
      <c r="K267" s="38" t="s">
        <v>329</v>
      </c>
      <c r="L267" s="38" t="s">
        <v>201</v>
      </c>
      <c r="M267" s="84"/>
      <c r="N267" s="84"/>
      <c r="O267" s="100"/>
      <c r="P267" s="34"/>
      <c r="Q267" s="35"/>
      <c r="R267" s="44" t="s">
        <v>350</v>
      </c>
      <c r="S267" s="44"/>
      <c r="T267" s="44" t="s">
        <v>446</v>
      </c>
      <c r="U267" s="44" t="s">
        <v>445</v>
      </c>
      <c r="V267" s="44" t="s">
        <v>443</v>
      </c>
      <c r="W267" s="44" t="s">
        <v>444</v>
      </c>
      <c r="X267" s="44" t="s">
        <v>447</v>
      </c>
      <c r="Y267" s="44" t="s">
        <v>449</v>
      </c>
      <c r="Z267" s="44" t="s">
        <v>448</v>
      </c>
      <c r="AA267" s="44" t="s">
        <v>202</v>
      </c>
      <c r="AB267" s="44" t="s">
        <v>380</v>
      </c>
      <c r="AC267" s="44" t="s">
        <v>450</v>
      </c>
      <c r="AD267" s="44" t="s">
        <v>381</v>
      </c>
      <c r="AE267" s="44" t="s">
        <v>451</v>
      </c>
      <c r="AF267" s="44" t="s">
        <v>452</v>
      </c>
      <c r="AG267" s="44" t="s">
        <v>638</v>
      </c>
      <c r="AH267" s="44" t="s">
        <v>206</v>
      </c>
      <c r="AI267" s="44" t="s">
        <v>278</v>
      </c>
      <c r="AJ267" s="44" t="s">
        <v>207</v>
      </c>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46.5" x14ac:dyDescent="0.3">
      <c r="B268" s="170" t="s">
        <v>553</v>
      </c>
      <c r="C268" s="160"/>
      <c r="D268" s="89" t="s">
        <v>52</v>
      </c>
      <c r="E268" s="59"/>
      <c r="F268" s="57"/>
      <c r="G268" s="161"/>
      <c r="H268" s="84" t="str">
        <f>IF(D268="t","","t/m3")</f>
        <v/>
      </c>
      <c r="J268" s="173" t="s">
        <v>441</v>
      </c>
      <c r="K268" s="96">
        <f>IF(ISNUMBER(L268),L268,IF(OR(C269=Pudotusvalikot!$D$14,C269=Pudotusvalikot!$D$15),Kalusto!$G$96,VLOOKUP(C269,Kalusto!$C$44:$G$83,5,FALSE))*IF(OR(C270=Pudotusvalikot!$V$3,C270=Pudotusvalikot!$V$4),Muut!$E$38,IF(C270=Pudotusvalikot!$V$5,Muut!$E$39,IF(C270=Pudotusvalikot!$V$6,Muut!$E$40,Muut!$E$41))))</f>
        <v>5.7709999999999997E-2</v>
      </c>
      <c r="L268" s="40"/>
      <c r="M268" s="41" t="s">
        <v>200</v>
      </c>
      <c r="N268" s="41"/>
      <c r="O268" s="265"/>
      <c r="Q268" s="47"/>
      <c r="R268" s="218" t="str">
        <f ca="1">IF(AND(NOT(ISNUMBER(AB268)),NOT(ISNUMBER(AG268))),"",IF(ISNUMBER(AB268),AB268,0)+IF(ISNUMBER(AG268),AG268,0))</f>
        <v/>
      </c>
      <c r="S268" s="232" t="s">
        <v>172</v>
      </c>
      <c r="T268" s="216" t="str">
        <f>IF(ISNUMBER(L268),"Kohdetieto",IF(OR(C269=Pudotusvalikot!$D$14,C269=Pudotusvalikot!$D$15),Kalusto!$I$96,VLOOKUP(C269,Kalusto!$C$44:$L$83,7,FALSE)))</f>
        <v>Maansiirtoauto</v>
      </c>
      <c r="U268" s="216">
        <f>IF(ISNUMBER(L268),"Kohdetieto",IF(OR(C269=Pudotusvalikot!$D$14,C269=Pudotusvalikot!$D$15),Kalusto!$J$96,VLOOKUP(C269,Kalusto!$C$44:$L$83,8,FALSE)))</f>
        <v>32</v>
      </c>
      <c r="V268" s="217">
        <f>IF(ISNUMBER(L268),"Kohdetieto",IF(OR(C269=Pudotusvalikot!$D$14,C269=Pudotusvalikot!$D$15),Kalusto!$K$96,VLOOKUP(C269,Kalusto!$C$44:$L$83,9,FALSE)))</f>
        <v>0.8</v>
      </c>
      <c r="W268" s="217" t="str">
        <f>IF(ISNUMBER(L268),"Kohdetieto",IF(OR(C269=Pudotusvalikot!$D$14,C269=Pudotusvalikot!$D$15),Kalusto!$L$96,VLOOKUP(C269,Kalusto!$C$44:$L$83,10,FALSE)))</f>
        <v>maantieajo</v>
      </c>
      <c r="X268" s="218" t="str">
        <f>IF(ISBLANK(C268),"",IF(D268="t",C268,C268*G268))</f>
        <v/>
      </c>
      <c r="Y268" s="216" t="str">
        <f>IF(ISNUMBER(C271),C271,"")</f>
        <v/>
      </c>
      <c r="Z268" s="218" t="str">
        <f>IF(ISNUMBER(X268/(U268*V268)*Y268),X268/(U268*V268)*Y268,"")</f>
        <v/>
      </c>
      <c r="AA268" s="219">
        <f>IF(ISNUMBER(L268),L268,K268)</f>
        <v>5.7709999999999997E-2</v>
      </c>
      <c r="AB268" s="218" t="str">
        <f>IF(ISNUMBER(Y268*X268*K268),Y268*X268*K268,"")</f>
        <v/>
      </c>
      <c r="AC268" s="218" t="str">
        <f>IF(ISNUMBER(Y268),Y268,"")</f>
        <v/>
      </c>
      <c r="AD268" s="218" t="str">
        <f>IF(ISNUMBER(X268),IF(ISNUMBER(X268/(U268*V268)),CEILING(X268/(U268*V268),1),""),"")</f>
        <v/>
      </c>
      <c r="AE268" s="218" t="str">
        <f>IF(ISNUMBER(AD268*AC268),AD268*AC268,"")</f>
        <v/>
      </c>
      <c r="AF268" s="219">
        <f ca="1">IF(ISNUMBER(L269),L269,K269)</f>
        <v>0.71940999999999999</v>
      </c>
      <c r="AG268" s="218" t="str">
        <f ca="1">IF(ISNUMBER(AC268*AD268*K269),AC268*AD268*K269,"")</f>
        <v/>
      </c>
      <c r="AH268" s="216">
        <f>IF(T268="Jakelukuorma-auto",0,IF(T268="Maansiirtoauto",4,IF(T268="Puoliperävaunu",6,8)))</f>
        <v>4</v>
      </c>
      <c r="AI268" s="216">
        <f>IF(AND(T268="Jakelukuorma-auto",U268=6),0,IF(AND(T268="Jakelukuorma-auto",U268=15),2,0))</f>
        <v>0</v>
      </c>
      <c r="AJ268" s="216">
        <f>IF(W268="maantieajo",0,1)</f>
        <v>0</v>
      </c>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31" x14ac:dyDescent="0.3">
      <c r="B269" s="170" t="s">
        <v>550</v>
      </c>
      <c r="C269" s="392" t="s">
        <v>330</v>
      </c>
      <c r="D269" s="393"/>
      <c r="E269" s="393"/>
      <c r="F269" s="393"/>
      <c r="G269" s="394"/>
      <c r="J269" s="33" t="s">
        <v>442</v>
      </c>
      <c r="K269" s="96">
        <f ca="1">IF(ISNUMBER(L269),L269,IF($C$100="Ei","",IF(AND($C$100="Kyllä",OR(C269=Pudotusvalikot!$D$14,C269=Pudotusvalikot!$D$15)),Kalusto!$G$97,OFFSET(Kalusto!$G$85,AH268+AJ268+AI268,0,1,1)))*IF(OR(C270=Pudotusvalikot!$V$3,C270=Pudotusvalikot!$V$4),Muut!$E$38,IF(C270=Pudotusvalikot!$V$5,Muut!$E$39,IF(C270=Pudotusvalikot!$V$6,Muut!$E$40,Muut!$E$41))))</f>
        <v>0.71940999999999999</v>
      </c>
      <c r="L269" s="40"/>
      <c r="M269" s="41" t="s">
        <v>204</v>
      </c>
      <c r="N269" s="41"/>
      <c r="O269" s="265"/>
      <c r="P269" s="34"/>
      <c r="Q269" s="52"/>
      <c r="R269" s="44"/>
      <c r="S269" s="44"/>
      <c r="T269" s="44"/>
      <c r="U269" s="44"/>
      <c r="V269" s="44"/>
      <c r="W269" s="44"/>
      <c r="X269" s="44"/>
      <c r="Y269" s="44"/>
      <c r="Z269" s="44"/>
      <c r="AA269" s="44"/>
      <c r="AB269" s="44"/>
      <c r="AC269" s="44"/>
      <c r="AD269" s="44"/>
      <c r="AE269" s="44"/>
      <c r="AF269" s="44"/>
      <c r="AG269" s="44"/>
      <c r="AH269" s="44"/>
      <c r="AI269" s="44"/>
      <c r="AJ269" s="44"/>
      <c r="AK269" s="108"/>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15.5" x14ac:dyDescent="0.3">
      <c r="B270" s="186" t="s">
        <v>506</v>
      </c>
      <c r="C270" s="160" t="s">
        <v>242</v>
      </c>
      <c r="D270" s="34"/>
      <c r="E270" s="34"/>
      <c r="F270" s="34"/>
      <c r="G270" s="34"/>
      <c r="H270" s="59"/>
      <c r="J270" s="173"/>
      <c r="K270" s="173"/>
      <c r="L270" s="173"/>
      <c r="M270" s="41"/>
      <c r="N270" s="41"/>
      <c r="O270" s="265"/>
      <c r="Q270" s="47"/>
      <c r="R270" s="232"/>
      <c r="S270" s="232"/>
      <c r="T270" s="44"/>
      <c r="U270" s="44"/>
      <c r="V270" s="220"/>
      <c r="W270" s="220"/>
      <c r="X270" s="221"/>
      <c r="Y270" s="44"/>
      <c r="Z270" s="221"/>
      <c r="AA270" s="222"/>
      <c r="AB270" s="221"/>
      <c r="AC270" s="221"/>
      <c r="AD270" s="221"/>
      <c r="AE270" s="221"/>
      <c r="AF270" s="222"/>
      <c r="AG270" s="221"/>
      <c r="AH270" s="44"/>
      <c r="AI270" s="44"/>
      <c r="AJ270" s="44"/>
      <c r="AK270" s="108"/>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15.5" x14ac:dyDescent="0.3">
      <c r="B271" s="45" t="s">
        <v>549</v>
      </c>
      <c r="C271" s="160"/>
      <c r="D271" s="84" t="s">
        <v>176</v>
      </c>
      <c r="G271" s="34"/>
      <c r="H271" s="84"/>
      <c r="I271" s="53"/>
      <c r="J271" s="53"/>
      <c r="K271" s="34"/>
      <c r="L271" s="34"/>
      <c r="M271" s="84"/>
      <c r="N271" s="84"/>
      <c r="O271" s="100"/>
      <c r="P271" s="53"/>
      <c r="Q271" s="52"/>
      <c r="R271" s="44"/>
      <c r="S271" s="44"/>
      <c r="T271" s="44"/>
      <c r="U271" s="44"/>
      <c r="V271" s="44"/>
      <c r="W271" s="44"/>
      <c r="X271" s="44"/>
      <c r="Y271" s="44"/>
      <c r="Z271" s="44"/>
      <c r="AA271" s="44"/>
      <c r="AB271" s="44"/>
      <c r="AC271" s="44"/>
      <c r="AD271" s="44"/>
      <c r="AE271" s="44"/>
      <c r="AF271" s="44"/>
      <c r="AG271" s="44"/>
      <c r="AH271" s="44"/>
      <c r="AI271" s="44"/>
      <c r="AJ271" s="44"/>
      <c r="AK271" s="108"/>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5" x14ac:dyDescent="0.3">
      <c r="B272" s="155" t="s">
        <v>4</v>
      </c>
      <c r="C272" s="34"/>
      <c r="D272" s="84"/>
      <c r="G272" s="34"/>
      <c r="H272" s="84"/>
      <c r="J272" s="33"/>
      <c r="K272" s="38" t="s">
        <v>329</v>
      </c>
      <c r="L272" s="38" t="s">
        <v>201</v>
      </c>
      <c r="M272" s="84"/>
      <c r="N272" s="84"/>
      <c r="O272" s="100"/>
      <c r="P272" s="34"/>
      <c r="Q272" s="35"/>
      <c r="R272" s="44" t="s">
        <v>350</v>
      </c>
      <c r="S272" s="44"/>
      <c r="T272" s="44" t="s">
        <v>446</v>
      </c>
      <c r="U272" s="44" t="s">
        <v>445</v>
      </c>
      <c r="V272" s="44" t="s">
        <v>443</v>
      </c>
      <c r="W272" s="44" t="s">
        <v>444</v>
      </c>
      <c r="X272" s="44" t="s">
        <v>447</v>
      </c>
      <c r="Y272" s="44" t="s">
        <v>449</v>
      </c>
      <c r="Z272" s="44" t="s">
        <v>448</v>
      </c>
      <c r="AA272" s="44" t="s">
        <v>202</v>
      </c>
      <c r="AB272" s="44" t="s">
        <v>380</v>
      </c>
      <c r="AC272" s="44" t="s">
        <v>450</v>
      </c>
      <c r="AD272" s="44" t="s">
        <v>381</v>
      </c>
      <c r="AE272" s="44" t="s">
        <v>451</v>
      </c>
      <c r="AF272" s="44" t="s">
        <v>452</v>
      </c>
      <c r="AG272" s="44" t="s">
        <v>638</v>
      </c>
      <c r="AH272" s="44" t="s">
        <v>206</v>
      </c>
      <c r="AI272" s="44" t="s">
        <v>278</v>
      </c>
      <c r="AJ272" s="44" t="s">
        <v>207</v>
      </c>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46.5" x14ac:dyDescent="0.3">
      <c r="B273" s="170" t="s">
        <v>553</v>
      </c>
      <c r="C273" s="161"/>
      <c r="D273" s="89" t="s">
        <v>52</v>
      </c>
      <c r="E273" s="59"/>
      <c r="F273" s="57"/>
      <c r="G273" s="161"/>
      <c r="H273" s="84" t="str">
        <f>IF(D273="t","","t/m3")</f>
        <v/>
      </c>
      <c r="J273" s="173" t="s">
        <v>441</v>
      </c>
      <c r="K273" s="96">
        <f>IF(ISNUMBER(L273),L273,IF(OR(C274=Pudotusvalikot!$D$14,C274=Pudotusvalikot!$D$15),Kalusto!$G$96,VLOOKUP(C274,Kalusto!$C$44:$G$83,5,FALSE))*IF(OR(C275=Pudotusvalikot!$V$3,C275=Pudotusvalikot!$V$4),Muut!$E$38,IF(C275=Pudotusvalikot!$V$5,Muut!$E$39,IF(C275=Pudotusvalikot!$V$6,Muut!$E$40,Muut!$E$41))))</f>
        <v>5.7709999999999997E-2</v>
      </c>
      <c r="L273" s="40"/>
      <c r="M273" s="41" t="s">
        <v>200</v>
      </c>
      <c r="N273" s="41"/>
      <c r="O273" s="265"/>
      <c r="Q273" s="47"/>
      <c r="R273" s="218" t="str">
        <f ca="1">IF(AND(NOT(ISNUMBER(AB273)),NOT(ISNUMBER(AG273))),"",IF(ISNUMBER(AB273),AB273,0)+IF(ISNUMBER(AG273),AG273,0))</f>
        <v/>
      </c>
      <c r="S273" s="232" t="s">
        <v>172</v>
      </c>
      <c r="T273" s="216" t="str">
        <f>IF(ISNUMBER(L273),"Kohdetieto",IF(OR(C274=Pudotusvalikot!$D$14,C274=Pudotusvalikot!$D$15),Kalusto!$I$96,VLOOKUP(C274,Kalusto!$C$44:$L$83,7,FALSE)))</f>
        <v>Maansiirtoauto</v>
      </c>
      <c r="U273" s="216">
        <f>IF(ISNUMBER(L273),"Kohdetieto",IF(OR(C274=Pudotusvalikot!$D$14,C274=Pudotusvalikot!$D$15),Kalusto!$J$96,VLOOKUP(C274,Kalusto!$C$44:$L$83,8,FALSE)))</f>
        <v>32</v>
      </c>
      <c r="V273" s="217">
        <f>IF(ISNUMBER(L273),"Kohdetieto",IF(OR(C274=Pudotusvalikot!$D$14,C274=Pudotusvalikot!$D$15),Kalusto!$K$96,VLOOKUP(C274,Kalusto!$C$44:$L$83,9,FALSE)))</f>
        <v>0.8</v>
      </c>
      <c r="W273" s="217" t="str">
        <f>IF(ISNUMBER(L273),"Kohdetieto",IF(OR(C274=Pudotusvalikot!$D$14,C274=Pudotusvalikot!$D$15),Kalusto!$L$96,VLOOKUP(C274,Kalusto!$C$44:$L$83,10,FALSE)))</f>
        <v>maantieajo</v>
      </c>
      <c r="X273" s="218" t="str">
        <f>IF(ISBLANK(C273),"",IF(D273="t",C273,C273*G273))</f>
        <v/>
      </c>
      <c r="Y273" s="216" t="str">
        <f>IF(ISNUMBER(C276),C276,"")</f>
        <v/>
      </c>
      <c r="Z273" s="218" t="str">
        <f>IF(ISNUMBER(X273/(U273*V273)*Y273),X273/(U273*V273)*Y273,"")</f>
        <v/>
      </c>
      <c r="AA273" s="219">
        <f>IF(ISNUMBER(L273),L273,K273)</f>
        <v>5.7709999999999997E-2</v>
      </c>
      <c r="AB273" s="218" t="str">
        <f>IF(ISNUMBER(Y273*X273*K273),Y273*X273*K273,"")</f>
        <v/>
      </c>
      <c r="AC273" s="218" t="str">
        <f>IF(ISNUMBER(Y273),Y273,"")</f>
        <v/>
      </c>
      <c r="AD273" s="218" t="str">
        <f>IF(ISNUMBER(X273),IF(ISNUMBER(X273/(U273*V273)),CEILING(X273/(U273*V273),1),""),"")</f>
        <v/>
      </c>
      <c r="AE273" s="218" t="str">
        <f>IF(ISNUMBER(AD273*AC273),AD273*AC273,"")</f>
        <v/>
      </c>
      <c r="AF273" s="219">
        <f ca="1">IF(ISNUMBER(L274),L274,K274)</f>
        <v>0.71940999999999999</v>
      </c>
      <c r="AG273" s="218" t="str">
        <f ca="1">IF(ISNUMBER(AC273*AD273*K274),AC273*AD273*K274,"")</f>
        <v/>
      </c>
      <c r="AH273" s="216">
        <f>IF(T273="Jakelukuorma-auto",0,IF(T273="Maansiirtoauto",4,IF(T273="Puoliperävaunu",6,8)))</f>
        <v>4</v>
      </c>
      <c r="AI273" s="216">
        <f>IF(AND(T273="Jakelukuorma-auto",U273=6),0,IF(AND(T273="Jakelukuorma-auto",U273=15),2,0))</f>
        <v>0</v>
      </c>
      <c r="AJ273" s="216">
        <f>IF(W273="maantieajo",0,1)</f>
        <v>0</v>
      </c>
      <c r="AK273" s="108"/>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31" customFormat="1" ht="31" x14ac:dyDescent="0.3">
      <c r="B274" s="170" t="s">
        <v>550</v>
      </c>
      <c r="C274" s="392" t="s">
        <v>330</v>
      </c>
      <c r="D274" s="393"/>
      <c r="E274" s="393"/>
      <c r="F274" s="393"/>
      <c r="G274" s="394"/>
      <c r="I274" s="59"/>
      <c r="J274" s="33" t="s">
        <v>442</v>
      </c>
      <c r="K274" s="96">
        <f ca="1">IF(ISNUMBER(L274),L274,IF($C$100="Ei","",IF(AND($C$100="Kyllä",OR(C274=Pudotusvalikot!$D$14,C274=Pudotusvalikot!$D$15)),Kalusto!$G$97,OFFSET(Kalusto!$G$85,AH273+AJ273+AI273,0,1,1)))*IF(OR(C275=Pudotusvalikot!$V$3,C275=Pudotusvalikot!$V$4),Muut!$E$38,IF(C275=Pudotusvalikot!$V$5,Muut!$E$39,IF(C275=Pudotusvalikot!$V$6,Muut!$E$40,Muut!$E$41))))</f>
        <v>0.71940999999999999</v>
      </c>
      <c r="L274" s="40"/>
      <c r="M274" s="41" t="s">
        <v>204</v>
      </c>
      <c r="N274" s="41"/>
      <c r="O274" s="265"/>
      <c r="P274" s="34"/>
      <c r="Q274" s="52"/>
      <c r="R274" s="106"/>
      <c r="S274" s="44"/>
      <c r="T274" s="44"/>
      <c r="U274" s="44"/>
      <c r="V274" s="44"/>
      <c r="W274" s="44"/>
      <c r="X274" s="44"/>
      <c r="Y274" s="44"/>
      <c r="Z274" s="44"/>
      <c r="AA274" s="44"/>
      <c r="AB274" s="44"/>
      <c r="AC274" s="44"/>
      <c r="AD274" s="44"/>
      <c r="AE274" s="44"/>
      <c r="AF274" s="44"/>
      <c r="AG274" s="44"/>
      <c r="AH274" s="44"/>
      <c r="AI274" s="44"/>
      <c r="AJ274" s="44"/>
      <c r="AK274" s="36"/>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7" s="31" customFormat="1" ht="15.5" x14ac:dyDescent="0.3">
      <c r="B275" s="186" t="s">
        <v>506</v>
      </c>
      <c r="C275" s="160" t="s">
        <v>242</v>
      </c>
      <c r="D275" s="34"/>
      <c r="E275" s="34"/>
      <c r="F275" s="34"/>
      <c r="G275" s="34"/>
      <c r="H275" s="59"/>
      <c r="J275" s="173"/>
      <c r="K275" s="173"/>
      <c r="L275" s="173"/>
      <c r="M275" s="41"/>
      <c r="N275" s="41"/>
      <c r="O275" s="265"/>
      <c r="Q275" s="47"/>
      <c r="R275" s="232"/>
      <c r="S275" s="232"/>
      <c r="T275" s="44"/>
      <c r="U275" s="44"/>
      <c r="V275" s="220"/>
      <c r="W275" s="220"/>
      <c r="X275" s="221"/>
      <c r="Y275" s="44"/>
      <c r="Z275" s="221"/>
      <c r="AA275" s="222"/>
      <c r="AB275" s="221"/>
      <c r="AC275" s="221"/>
      <c r="AD275" s="221"/>
      <c r="AE275" s="221"/>
      <c r="AF275" s="222"/>
      <c r="AG275" s="221"/>
      <c r="AH275" s="44"/>
      <c r="AI275" s="44"/>
      <c r="AJ275" s="44"/>
      <c r="AK275" s="108"/>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5" x14ac:dyDescent="0.3">
      <c r="B276" s="45" t="s">
        <v>549</v>
      </c>
      <c r="C276" s="162"/>
      <c r="D276" s="84" t="s">
        <v>5</v>
      </c>
      <c r="G276" s="34"/>
      <c r="H276" s="84"/>
      <c r="I276" s="53"/>
      <c r="J276" s="53"/>
      <c r="K276" s="34"/>
      <c r="L276" s="34"/>
      <c r="M276" s="84"/>
      <c r="N276" s="84"/>
      <c r="O276" s="100"/>
      <c r="P276" s="53"/>
      <c r="Q276" s="52"/>
      <c r="R276" s="106"/>
      <c r="S276" s="44"/>
      <c r="T276" s="44"/>
      <c r="U276" s="44"/>
      <c r="V276" s="44"/>
      <c r="W276" s="44"/>
      <c r="X276" s="44"/>
      <c r="Y276" s="44"/>
      <c r="Z276" s="44"/>
      <c r="AA276" s="44"/>
      <c r="AB276" s="44"/>
      <c r="AC276" s="44"/>
      <c r="AD276" s="44"/>
      <c r="AE276" s="44"/>
      <c r="AF276" s="44"/>
      <c r="AG276" s="44"/>
      <c r="AH276" s="44"/>
      <c r="AI276" s="44"/>
      <c r="AJ276" s="44"/>
      <c r="AK276" s="36"/>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15.5" x14ac:dyDescent="0.3">
      <c r="B277" s="54"/>
      <c r="C277" s="34"/>
      <c r="D277" s="59"/>
      <c r="E277" s="58"/>
      <c r="F277" s="58"/>
      <c r="G277" s="34"/>
      <c r="H277" s="84"/>
      <c r="J277" s="33"/>
      <c r="K277" s="34"/>
      <c r="L277" s="34"/>
      <c r="M277" s="84"/>
      <c r="N277" s="84"/>
      <c r="O277" s="100"/>
      <c r="Q277" s="35"/>
      <c r="R277" s="106"/>
      <c r="S277" s="44"/>
      <c r="T277" s="44"/>
      <c r="U277" s="44"/>
      <c r="V277" s="44"/>
      <c r="W277" s="44"/>
      <c r="X277" s="44"/>
      <c r="Y277" s="44"/>
      <c r="Z277" s="44"/>
      <c r="AA277" s="44"/>
      <c r="AB277" s="44"/>
      <c r="AC277" s="44"/>
      <c r="AD277" s="44"/>
      <c r="AE277" s="44"/>
      <c r="AF277" s="44"/>
      <c r="AG277" s="44"/>
      <c r="AH277" s="44"/>
      <c r="AI277" s="44"/>
      <c r="AJ277" s="44"/>
      <c r="AK277" s="36"/>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15.5" x14ac:dyDescent="0.3">
      <c r="B278" s="177" t="s">
        <v>554</v>
      </c>
      <c r="C278" s="34"/>
      <c r="D278" s="59"/>
      <c r="E278" s="58"/>
      <c r="F278" s="58"/>
      <c r="G278" s="34"/>
      <c r="H278" s="84"/>
      <c r="J278" s="33"/>
      <c r="K278" s="34"/>
      <c r="L278" s="34"/>
      <c r="M278" s="84"/>
      <c r="N278" s="84"/>
      <c r="O278" s="100"/>
      <c r="Q278" s="35"/>
      <c r="R278" s="106"/>
      <c r="S278" s="44"/>
      <c r="T278" s="44"/>
      <c r="U278" s="44"/>
      <c r="V278" s="44"/>
      <c r="W278" s="44"/>
      <c r="X278" s="44"/>
      <c r="Y278" s="44"/>
      <c r="Z278" s="44"/>
      <c r="AA278" s="44"/>
      <c r="AB278" s="44"/>
      <c r="AC278" s="44"/>
      <c r="AD278" s="44"/>
      <c r="AE278" s="44"/>
      <c r="AF278" s="44"/>
      <c r="AG278" s="44"/>
      <c r="AH278" s="44"/>
      <c r="AI278" s="44"/>
      <c r="AJ278" s="44"/>
      <c r="AK278" s="36"/>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15.5" x14ac:dyDescent="0.3">
      <c r="B279" s="54"/>
      <c r="C279" s="34"/>
      <c r="D279" s="59"/>
      <c r="E279" s="58"/>
      <c r="F279" s="58"/>
      <c r="G279" s="34"/>
      <c r="H279" s="84"/>
      <c r="J279" s="33"/>
      <c r="K279" s="34"/>
      <c r="L279" s="34"/>
      <c r="M279" s="84"/>
      <c r="N279" s="84"/>
      <c r="O279" s="84"/>
      <c r="Q279" s="35"/>
      <c r="R279" s="106"/>
      <c r="S279" s="44"/>
      <c r="T279" s="44"/>
      <c r="U279" s="44"/>
      <c r="V279" s="44"/>
      <c r="W279" s="44"/>
      <c r="X279" s="44"/>
      <c r="Y279" s="44"/>
      <c r="Z279" s="44"/>
      <c r="AA279" s="44"/>
      <c r="AB279" s="44"/>
      <c r="AC279" s="44"/>
      <c r="AD279" s="44"/>
      <c r="AE279" s="44"/>
      <c r="AF279" s="44"/>
      <c r="AG279" s="44"/>
      <c r="AH279" s="44"/>
      <c r="AI279" s="44"/>
      <c r="AJ279" s="44"/>
      <c r="AK279" s="36"/>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298" customFormat="1" ht="18" x14ac:dyDescent="0.3">
      <c r="B280" s="295" t="s">
        <v>41</v>
      </c>
      <c r="C280" s="296"/>
      <c r="D280" s="297"/>
      <c r="G280" s="296"/>
      <c r="H280" s="297"/>
      <c r="K280" s="296"/>
      <c r="L280" s="296"/>
      <c r="M280" s="297"/>
      <c r="N280" s="297"/>
      <c r="O280" s="300"/>
      <c r="P280" s="320"/>
      <c r="Q280" s="304"/>
      <c r="S280" s="303"/>
      <c r="T280" s="303"/>
      <c r="U280" s="303"/>
      <c r="V280" s="303"/>
      <c r="W280" s="303"/>
      <c r="X280" s="303"/>
      <c r="Y280" s="303"/>
      <c r="Z280" s="303"/>
      <c r="AA280" s="303"/>
      <c r="AB280" s="303"/>
      <c r="AC280" s="303"/>
      <c r="AD280" s="303"/>
      <c r="AE280" s="303"/>
      <c r="AF280" s="303"/>
      <c r="AG280" s="303"/>
      <c r="AH280" s="303"/>
      <c r="AI280" s="303"/>
      <c r="AJ280" s="303"/>
      <c r="AK280" s="303"/>
      <c r="AL280" s="303"/>
      <c r="AM280" s="303"/>
      <c r="AN280" s="304"/>
      <c r="AO280" s="304"/>
      <c r="AP280" s="304"/>
      <c r="AQ280" s="304"/>
      <c r="AR280" s="304"/>
      <c r="AS280" s="304"/>
      <c r="AT280" s="304"/>
      <c r="AU280" s="304"/>
      <c r="AV280" s="304"/>
      <c r="AW280" s="304"/>
      <c r="AX280" s="304"/>
      <c r="AY280" s="304"/>
      <c r="AZ280" s="304"/>
      <c r="BA280" s="304"/>
      <c r="BB280" s="304"/>
      <c r="BC280" s="304"/>
      <c r="BD280" s="304"/>
      <c r="BE280" s="304"/>
    </row>
    <row r="281" spans="2:57" s="31" customFormat="1" ht="15.5" x14ac:dyDescent="0.3">
      <c r="B281" s="9"/>
      <c r="C281" s="34"/>
      <c r="D281" s="84"/>
      <c r="G281" s="34"/>
      <c r="H281" s="84"/>
      <c r="J281" s="33"/>
      <c r="K281" s="34"/>
      <c r="L281" s="34"/>
      <c r="M281" s="84"/>
      <c r="N281" s="84"/>
      <c r="O281" s="84"/>
      <c r="Q281" s="35"/>
      <c r="R281" s="106"/>
      <c r="S281" s="44"/>
      <c r="T281" s="44"/>
      <c r="U281" s="44"/>
      <c r="V281" s="44"/>
      <c r="W281" s="44"/>
      <c r="X281" s="44"/>
      <c r="Y281" s="44"/>
      <c r="Z281" s="44"/>
      <c r="AA281" s="44"/>
      <c r="AB281" s="44"/>
      <c r="AC281" s="44"/>
      <c r="AD281" s="44"/>
      <c r="AE281" s="44"/>
      <c r="AF281" s="44"/>
      <c r="AG281" s="44"/>
      <c r="AH281" s="44"/>
      <c r="AI281" s="44"/>
      <c r="AJ281" s="44"/>
      <c r="AK281" s="36"/>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5" x14ac:dyDescent="0.3">
      <c r="B282" s="9" t="s">
        <v>597</v>
      </c>
      <c r="C282" s="34"/>
      <c r="D282" s="84"/>
      <c r="G282" s="34"/>
      <c r="H282" s="84"/>
      <c r="J282" s="33"/>
      <c r="K282" s="38"/>
      <c r="L282" s="38"/>
      <c r="M282" s="84"/>
      <c r="N282" s="84"/>
      <c r="O282" s="255" t="s">
        <v>644</v>
      </c>
      <c r="Q282" s="35"/>
      <c r="R282" s="44"/>
      <c r="S282" s="44"/>
      <c r="T282" s="44"/>
      <c r="U282" s="44"/>
      <c r="V282" s="44"/>
      <c r="W282" s="44"/>
      <c r="X282" s="44"/>
      <c r="Y282" s="44"/>
      <c r="Z282" s="44"/>
      <c r="AA282" s="44"/>
      <c r="AB282" s="44"/>
      <c r="AC282" s="44"/>
      <c r="AD282" s="44"/>
      <c r="AE282" s="44"/>
      <c r="AF282" s="44"/>
      <c r="AG282" s="44"/>
      <c r="AH282" s="44"/>
      <c r="AI282" s="44"/>
      <c r="AJ282" s="44"/>
      <c r="AK282" s="36"/>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15.5" x14ac:dyDescent="0.3">
      <c r="B283" s="9"/>
      <c r="C283" s="34"/>
      <c r="D283" s="84"/>
      <c r="G283" s="34"/>
      <c r="H283" s="84"/>
      <c r="J283" s="33"/>
      <c r="K283" s="38" t="s">
        <v>329</v>
      </c>
      <c r="L283" s="38" t="s">
        <v>201</v>
      </c>
      <c r="M283" s="84"/>
      <c r="N283" s="84"/>
      <c r="O283" s="256"/>
      <c r="Q283" s="35"/>
      <c r="R283" s="44" t="s">
        <v>350</v>
      </c>
      <c r="S283" s="44"/>
      <c r="T283" s="44"/>
      <c r="U283" s="44"/>
      <c r="V283" s="44"/>
      <c r="W283" s="44"/>
      <c r="X283" s="44"/>
      <c r="Y283" s="44"/>
      <c r="Z283" s="44"/>
      <c r="AA283" s="44"/>
      <c r="AB283" s="44"/>
      <c r="AC283" s="44"/>
      <c r="AD283" s="44"/>
      <c r="AE283" s="44"/>
      <c r="AF283" s="44"/>
      <c r="AG283" s="44"/>
      <c r="AH283" s="44"/>
      <c r="AI283" s="44"/>
      <c r="AJ283" s="44"/>
      <c r="AK283" s="36"/>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31" x14ac:dyDescent="0.3">
      <c r="B284" s="86" t="s">
        <v>551</v>
      </c>
      <c r="C284" s="160"/>
      <c r="D284" s="84" t="s">
        <v>175</v>
      </c>
      <c r="G284" s="34"/>
      <c r="H284" s="84"/>
      <c r="J284" s="33" t="s">
        <v>565</v>
      </c>
      <c r="K284" s="96">
        <f>IF(ISNUMBER(L284),L284,Muut!$H$28*IF(OR(C285=Pudotusvalikot!$V$3,C285=Pudotusvalikot!$V$4),Muut!$E$38,IF(C285=Pudotusvalikot!$V$5,Muut!$E$39,IF(C285=Pudotusvalikot!$V$6,Muut!$E$40,Muut!$E$41))))</f>
        <v>0.22753333333333334</v>
      </c>
      <c r="L284" s="63"/>
      <c r="M284" s="41" t="s">
        <v>226</v>
      </c>
      <c r="N284" s="41"/>
      <c r="O284" s="265"/>
      <c r="Q284" s="35"/>
      <c r="R284" s="242" t="str">
        <f>IF(AND(ISNUMBER(K284),ISNUMBER(C284)),K284*C284,"")</f>
        <v/>
      </c>
      <c r="S284" s="232" t="s">
        <v>172</v>
      </c>
      <c r="T284" s="221"/>
      <c r="U284" s="221"/>
      <c r="V284" s="221"/>
      <c r="W284" s="44"/>
      <c r="X284" s="44"/>
      <c r="Y284" s="44"/>
      <c r="Z284" s="44"/>
      <c r="AA284" s="44"/>
      <c r="AB284" s="44"/>
      <c r="AC284" s="44"/>
      <c r="AD284" s="44"/>
      <c r="AE284" s="44"/>
      <c r="AF284" s="44"/>
      <c r="AG284" s="44"/>
      <c r="AH284" s="44"/>
      <c r="AI284" s="44"/>
      <c r="AJ284" s="44"/>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15.5" x14ac:dyDescent="0.3">
      <c r="B285" s="170" t="s">
        <v>509</v>
      </c>
      <c r="C285" s="160" t="s">
        <v>242</v>
      </c>
      <c r="D285" s="34"/>
      <c r="E285" s="34"/>
      <c r="F285" s="34"/>
      <c r="G285" s="34"/>
      <c r="H285" s="34"/>
      <c r="I285" s="34"/>
      <c r="J285" s="173"/>
      <c r="K285" s="173"/>
      <c r="L285" s="173"/>
      <c r="M285" s="41"/>
      <c r="N285" s="41"/>
      <c r="O285" s="265"/>
      <c r="Q285" s="47"/>
      <c r="R285" s="221"/>
      <c r="S285" s="232"/>
      <c r="T285" s="44"/>
      <c r="U285" s="44"/>
      <c r="V285" s="220"/>
      <c r="W285" s="220"/>
      <c r="X285" s="221"/>
      <c r="Y285" s="44"/>
      <c r="Z285" s="221"/>
      <c r="AA285" s="222"/>
      <c r="AB285" s="221"/>
      <c r="AC285" s="221"/>
      <c r="AD285" s="221"/>
      <c r="AE285" s="221"/>
      <c r="AF285" s="222"/>
      <c r="AG285" s="221"/>
      <c r="AH285" s="44"/>
      <c r="AI285" s="44"/>
      <c r="AJ285" s="44"/>
      <c r="AK285" s="108"/>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46.5" x14ac:dyDescent="0.3">
      <c r="B286" s="86" t="s">
        <v>527</v>
      </c>
      <c r="F286" s="34"/>
      <c r="G286" s="34"/>
      <c r="H286" s="34"/>
      <c r="I286" s="34"/>
      <c r="K286" s="38" t="s">
        <v>329</v>
      </c>
      <c r="L286" s="38" t="s">
        <v>201</v>
      </c>
      <c r="M286" s="84"/>
      <c r="N286" s="84"/>
      <c r="O286" s="100"/>
      <c r="Q286" s="35"/>
      <c r="R286" s="44" t="s">
        <v>350</v>
      </c>
      <c r="S286" s="225"/>
      <c r="T286" s="44"/>
      <c r="U286" s="44"/>
      <c r="V286" s="44"/>
      <c r="W286" s="44"/>
      <c r="X286" s="44"/>
      <c r="Y286" s="44"/>
      <c r="Z286" s="44"/>
      <c r="AA286" s="44"/>
      <c r="AB286" s="44"/>
      <c r="AC286" s="44"/>
      <c r="AD286" s="44"/>
      <c r="AE286" s="44"/>
      <c r="AF286" s="44"/>
      <c r="AG286" s="44"/>
      <c r="AH286" s="44"/>
      <c r="AI286" s="44"/>
      <c r="AJ286" s="44"/>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5" x14ac:dyDescent="0.3">
      <c r="B287" s="136" t="s">
        <v>555</v>
      </c>
      <c r="C287" s="66"/>
      <c r="D287" s="84" t="s">
        <v>52</v>
      </c>
      <c r="G287" s="34"/>
      <c r="H287" s="84"/>
      <c r="J287" s="33" t="s">
        <v>382</v>
      </c>
      <c r="K287" s="138">
        <f>IF(ISNUMBER(L287),L287,Muut!$H$30)</f>
        <v>33.857142857142854</v>
      </c>
      <c r="L287" s="63"/>
      <c r="M287" s="41" t="s">
        <v>277</v>
      </c>
      <c r="N287" s="41"/>
      <c r="O287" s="265"/>
      <c r="Q287" s="35"/>
      <c r="R287" s="242" t="str">
        <f>IF(AND(ISNUMBER(K287),ISNUMBER(C287)),K287*C287,"")</f>
        <v/>
      </c>
      <c r="S287" s="232" t="s">
        <v>172</v>
      </c>
      <c r="T287" s="44"/>
      <c r="U287" s="44"/>
      <c r="V287" s="44"/>
      <c r="W287" s="44"/>
      <c r="X287" s="44"/>
      <c r="Y287" s="44"/>
      <c r="Z287" s="44"/>
      <c r="AA287" s="44"/>
      <c r="AB287" s="44"/>
      <c r="AC287" s="44"/>
      <c r="AD287" s="44"/>
      <c r="AE287" s="44"/>
      <c r="AF287" s="44"/>
      <c r="AG287" s="44"/>
      <c r="AH287" s="44"/>
      <c r="AI287" s="44"/>
      <c r="AJ287" s="44"/>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31" x14ac:dyDescent="0.3">
      <c r="B288" s="170" t="s">
        <v>570</v>
      </c>
      <c r="C288" s="160"/>
      <c r="D288" s="84" t="s">
        <v>8</v>
      </c>
      <c r="E288" s="34"/>
      <c r="F288" s="34"/>
      <c r="G288" s="34"/>
      <c r="H288" s="84"/>
      <c r="J288" s="33" t="s">
        <v>560</v>
      </c>
      <c r="K288" s="96" t="str">
        <f>IF(ISNUMBER(L288),L288,"")</f>
        <v/>
      </c>
      <c r="L288" s="185"/>
      <c r="M288" s="41" t="s">
        <v>277</v>
      </c>
      <c r="N288" s="41"/>
      <c r="O288" s="265"/>
      <c r="Q288" s="35"/>
      <c r="R288" s="242" t="str">
        <f>IF(AND(ISNUMBER(K288),ISNUMBER(C288)),-K288*C288,"")</f>
        <v/>
      </c>
      <c r="S288" s="232" t="s">
        <v>172</v>
      </c>
      <c r="T288" s="231" t="s">
        <v>383</v>
      </c>
      <c r="U288" s="44"/>
      <c r="V288" s="44"/>
      <c r="W288" s="44"/>
      <c r="X288" s="44"/>
      <c r="Y288" s="44"/>
      <c r="Z288" s="44"/>
      <c r="AA288" s="44"/>
      <c r="AB288" s="44"/>
      <c r="AC288" s="44"/>
      <c r="AD288" s="44"/>
      <c r="AE288" s="44"/>
      <c r="AF288" s="44"/>
      <c r="AG288" s="44"/>
      <c r="AH288" s="44"/>
      <c r="AI288" s="44"/>
      <c r="AJ288" s="44"/>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7" s="31" customFormat="1" ht="31" x14ac:dyDescent="0.3">
      <c r="B289" s="170" t="s">
        <v>571</v>
      </c>
      <c r="C289" s="160"/>
      <c r="D289" s="84" t="s">
        <v>8</v>
      </c>
      <c r="E289" s="34"/>
      <c r="F289" s="34"/>
      <c r="G289" s="34"/>
      <c r="H289" s="84"/>
      <c r="J289" s="33" t="s">
        <v>564</v>
      </c>
      <c r="K289" s="96" t="str">
        <f>IF(ISNUMBER(L289),L289,"")</f>
        <v/>
      </c>
      <c r="L289" s="185"/>
      <c r="M289" s="41" t="s">
        <v>277</v>
      </c>
      <c r="N289" s="41"/>
      <c r="O289" s="265"/>
      <c r="Q289" s="35"/>
      <c r="R289" s="242" t="str">
        <f>IF(AND(ISNUMBER(K289),ISNUMBER(C289)),-K289*C289,"")</f>
        <v/>
      </c>
      <c r="S289" s="232" t="s">
        <v>172</v>
      </c>
      <c r="T289" s="231" t="s">
        <v>383</v>
      </c>
      <c r="U289" s="44"/>
      <c r="V289" s="44"/>
      <c r="W289" s="44"/>
      <c r="X289" s="44"/>
      <c r="Y289" s="44"/>
      <c r="Z289" s="44"/>
      <c r="AA289" s="44"/>
      <c r="AB289" s="44"/>
      <c r="AC289" s="44"/>
      <c r="AD289" s="44"/>
      <c r="AE289" s="44"/>
      <c r="AF289" s="44"/>
      <c r="AG289" s="44"/>
      <c r="AH289" s="44"/>
      <c r="AI289" s="44"/>
      <c r="AJ289" s="44"/>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7" s="31" customFormat="1" ht="15.5" x14ac:dyDescent="0.3">
      <c r="B290" s="136" t="s">
        <v>556</v>
      </c>
      <c r="C290" s="66"/>
      <c r="D290" s="84" t="s">
        <v>52</v>
      </c>
      <c r="G290" s="34"/>
      <c r="H290" s="84"/>
      <c r="J290" s="33" t="s">
        <v>382</v>
      </c>
      <c r="K290" s="138">
        <f>IF(ISNUMBER(L290),L290,Muut!$H$30)</f>
        <v>33.857142857142854</v>
      </c>
      <c r="L290" s="63"/>
      <c r="M290" s="41" t="s">
        <v>277</v>
      </c>
      <c r="N290" s="41"/>
      <c r="O290" s="265"/>
      <c r="Q290" s="35"/>
      <c r="R290" s="242" t="str">
        <f>IF(AND(ISNUMBER(K290),ISNUMBER(C290)),K290*C290,"")</f>
        <v/>
      </c>
      <c r="S290" s="232" t="s">
        <v>172</v>
      </c>
      <c r="T290" s="44"/>
      <c r="U290" s="44"/>
      <c r="V290" s="44"/>
      <c r="W290" s="44"/>
      <c r="X290" s="44"/>
      <c r="Y290" s="44"/>
      <c r="Z290" s="44"/>
      <c r="AA290" s="44"/>
      <c r="AB290" s="44"/>
      <c r="AC290" s="44"/>
      <c r="AD290" s="44"/>
      <c r="AE290" s="44"/>
      <c r="AF290" s="44"/>
      <c r="AG290" s="44"/>
      <c r="AH290" s="44"/>
      <c r="AI290" s="44"/>
      <c r="AJ290" s="44"/>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7" s="31" customFormat="1" ht="31" x14ac:dyDescent="0.3">
      <c r="B291" s="170" t="s">
        <v>572</v>
      </c>
      <c r="C291" s="160"/>
      <c r="D291" s="84" t="s">
        <v>8</v>
      </c>
      <c r="G291" s="34"/>
      <c r="H291" s="84"/>
      <c r="J291" s="33" t="s">
        <v>560</v>
      </c>
      <c r="K291" s="96" t="str">
        <f>IF(ISNUMBER(L291),L291,"")</f>
        <v/>
      </c>
      <c r="L291" s="185"/>
      <c r="M291" s="41" t="s">
        <v>277</v>
      </c>
      <c r="N291" s="41"/>
      <c r="O291" s="265"/>
      <c r="Q291" s="35"/>
      <c r="R291" s="242" t="str">
        <f>IF(AND(ISNUMBER(K291),ISNUMBER(C291)),-K291*C291,"")</f>
        <v/>
      </c>
      <c r="S291" s="232" t="s">
        <v>172</v>
      </c>
      <c r="T291" s="231" t="s">
        <v>383</v>
      </c>
      <c r="U291" s="44"/>
      <c r="V291" s="44"/>
      <c r="W291" s="44"/>
      <c r="X291" s="44"/>
      <c r="Y291" s="44"/>
      <c r="Z291" s="44"/>
      <c r="AA291" s="44"/>
      <c r="AB291" s="44"/>
      <c r="AC291" s="44"/>
      <c r="AD291" s="44"/>
      <c r="AE291" s="44"/>
      <c r="AF291" s="44"/>
      <c r="AG291" s="44"/>
      <c r="AH291" s="44"/>
      <c r="AI291" s="44"/>
      <c r="AJ291" s="44"/>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7" s="31" customFormat="1" ht="31" x14ac:dyDescent="0.3">
      <c r="B292" s="170" t="s">
        <v>571</v>
      </c>
      <c r="C292" s="160"/>
      <c r="D292" s="84" t="s">
        <v>8</v>
      </c>
      <c r="E292" s="34"/>
      <c r="F292" s="34"/>
      <c r="G292" s="34"/>
      <c r="H292" s="84"/>
      <c r="J292" s="33" t="s">
        <v>564</v>
      </c>
      <c r="K292" s="96" t="str">
        <f>IF(ISNUMBER(L292),L292,"")</f>
        <v/>
      </c>
      <c r="L292" s="185"/>
      <c r="M292" s="41" t="s">
        <v>277</v>
      </c>
      <c r="N292" s="41"/>
      <c r="O292" s="265"/>
      <c r="Q292" s="35"/>
      <c r="R292" s="242" t="str">
        <f>IF(AND(ISNUMBER(K292),ISNUMBER(C292)),-K292*C292,"")</f>
        <v/>
      </c>
      <c r="S292" s="232" t="s">
        <v>172</v>
      </c>
      <c r="T292" s="231" t="s">
        <v>383</v>
      </c>
      <c r="U292" s="44"/>
      <c r="V292" s="44"/>
      <c r="W292" s="44"/>
      <c r="X292" s="44"/>
      <c r="Y292" s="44"/>
      <c r="Z292" s="44"/>
      <c r="AA292" s="44"/>
      <c r="AB292" s="44"/>
      <c r="AC292" s="44"/>
      <c r="AD292" s="44"/>
      <c r="AE292" s="44"/>
      <c r="AF292" s="44"/>
      <c r="AG292" s="44"/>
      <c r="AH292" s="44"/>
      <c r="AI292" s="44"/>
      <c r="AJ292" s="44"/>
      <c r="AK292" s="36"/>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7" s="31" customFormat="1" ht="15.5" x14ac:dyDescent="0.3">
      <c r="B293" s="136" t="s">
        <v>557</v>
      </c>
      <c r="C293" s="66"/>
      <c r="D293" s="84" t="s">
        <v>52</v>
      </c>
      <c r="G293" s="34"/>
      <c r="H293" s="84"/>
      <c r="J293" s="33" t="s">
        <v>382</v>
      </c>
      <c r="K293" s="138">
        <f>IF(ISNUMBER(L293),L293,Muut!$H$30)</f>
        <v>33.857142857142854</v>
      </c>
      <c r="L293" s="63"/>
      <c r="M293" s="41" t="s">
        <v>277</v>
      </c>
      <c r="N293" s="41"/>
      <c r="O293" s="265"/>
      <c r="Q293" s="35"/>
      <c r="R293" s="242" t="str">
        <f>IF(AND(ISNUMBER(K293),ISNUMBER(C293)),K293*C293,"")</f>
        <v/>
      </c>
      <c r="S293" s="232" t="s">
        <v>172</v>
      </c>
      <c r="T293" s="44"/>
      <c r="U293" s="44"/>
      <c r="V293" s="44"/>
      <c r="W293" s="44"/>
      <c r="X293" s="44"/>
      <c r="Y293" s="44"/>
      <c r="Z293" s="44"/>
      <c r="AA293" s="44"/>
      <c r="AB293" s="44"/>
      <c r="AC293" s="44"/>
      <c r="AD293" s="44"/>
      <c r="AE293" s="44"/>
      <c r="AF293" s="44"/>
      <c r="AG293" s="44"/>
      <c r="AH293" s="44"/>
      <c r="AI293" s="44"/>
      <c r="AJ293" s="44"/>
      <c r="AK293" s="36"/>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7" s="31" customFormat="1" ht="31" x14ac:dyDescent="0.3">
      <c r="B294" s="170" t="s">
        <v>572</v>
      </c>
      <c r="C294" s="160"/>
      <c r="D294" s="84" t="s">
        <v>8</v>
      </c>
      <c r="E294" s="34"/>
      <c r="F294" s="34"/>
      <c r="G294" s="34"/>
      <c r="H294" s="84"/>
      <c r="J294" s="33" t="s">
        <v>560</v>
      </c>
      <c r="K294" s="96" t="str">
        <f>IF(ISNUMBER(L294),L294,"")</f>
        <v/>
      </c>
      <c r="L294" s="185"/>
      <c r="M294" s="41" t="s">
        <v>277</v>
      </c>
      <c r="N294" s="41"/>
      <c r="O294" s="265"/>
      <c r="Q294" s="35"/>
      <c r="R294" s="242" t="str">
        <f>IF(AND(ISNUMBER(K294),ISNUMBER(C294)),-K294*C294,"")</f>
        <v/>
      </c>
      <c r="S294" s="232" t="s">
        <v>172</v>
      </c>
      <c r="T294" s="231" t="s">
        <v>383</v>
      </c>
      <c r="U294" s="44"/>
      <c r="V294" s="44"/>
      <c r="W294" s="44"/>
      <c r="X294" s="44"/>
      <c r="Y294" s="44"/>
      <c r="Z294" s="44"/>
      <c r="AA294" s="44"/>
      <c r="AB294" s="44"/>
      <c r="AC294" s="44"/>
      <c r="AD294" s="44"/>
      <c r="AE294" s="44"/>
      <c r="AF294" s="44"/>
      <c r="AG294" s="44"/>
      <c r="AH294" s="44"/>
      <c r="AI294" s="44"/>
      <c r="AJ294" s="44"/>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7" s="31" customFormat="1" ht="31" x14ac:dyDescent="0.3">
      <c r="B295" s="170" t="s">
        <v>571</v>
      </c>
      <c r="C295" s="160"/>
      <c r="D295" s="84" t="s">
        <v>8</v>
      </c>
      <c r="E295" s="34"/>
      <c r="F295" s="34"/>
      <c r="G295" s="34"/>
      <c r="H295" s="84"/>
      <c r="J295" s="33" t="s">
        <v>564</v>
      </c>
      <c r="K295" s="96" t="str">
        <f>IF(ISNUMBER(L295),L295,"")</f>
        <v/>
      </c>
      <c r="L295" s="185"/>
      <c r="M295" s="41" t="s">
        <v>277</v>
      </c>
      <c r="N295" s="41"/>
      <c r="O295" s="265"/>
      <c r="Q295" s="35"/>
      <c r="R295" s="242" t="str">
        <f>IF(AND(ISNUMBER(K295),ISNUMBER(C295)),-K295*C295,"")</f>
        <v/>
      </c>
      <c r="S295" s="232" t="s">
        <v>172</v>
      </c>
      <c r="T295" s="231" t="s">
        <v>383</v>
      </c>
      <c r="U295" s="44"/>
      <c r="V295" s="44"/>
      <c r="W295" s="44"/>
      <c r="X295" s="44"/>
      <c r="Y295" s="44"/>
      <c r="Z295" s="44"/>
      <c r="AA295" s="44"/>
      <c r="AB295" s="44"/>
      <c r="AC295" s="44"/>
      <c r="AD295" s="44"/>
      <c r="AE295" s="44"/>
      <c r="AF295" s="44"/>
      <c r="AG295" s="44"/>
      <c r="AH295" s="44"/>
      <c r="AI295" s="44"/>
      <c r="AJ295" s="44"/>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7" s="31" customFormat="1" ht="15.5" x14ac:dyDescent="0.3">
      <c r="B296" s="136" t="s">
        <v>558</v>
      </c>
      <c r="C296" s="66"/>
      <c r="D296" s="84" t="s">
        <v>52</v>
      </c>
      <c r="G296" s="34"/>
      <c r="H296" s="84"/>
      <c r="J296" s="33" t="s">
        <v>382</v>
      </c>
      <c r="K296" s="138">
        <f>IF(ISNUMBER(L296),L296,Muut!$H$30)</f>
        <v>33.857142857142854</v>
      </c>
      <c r="L296" s="63"/>
      <c r="M296" s="41" t="s">
        <v>277</v>
      </c>
      <c r="N296" s="41"/>
      <c r="O296" s="265"/>
      <c r="Q296" s="35"/>
      <c r="R296" s="242" t="str">
        <f>IF(AND(ISNUMBER(K296),ISNUMBER(C296)),K296*C296,"")</f>
        <v/>
      </c>
      <c r="S296" s="232" t="s">
        <v>172</v>
      </c>
      <c r="T296" s="44"/>
      <c r="U296" s="44"/>
      <c r="V296" s="44"/>
      <c r="W296" s="44"/>
      <c r="X296" s="44"/>
      <c r="Y296" s="44"/>
      <c r="Z296" s="44"/>
      <c r="AA296" s="44"/>
      <c r="AB296" s="44"/>
      <c r="AC296" s="44"/>
      <c r="AD296" s="44"/>
      <c r="AE296" s="44"/>
      <c r="AF296" s="44"/>
      <c r="AG296" s="44"/>
      <c r="AH296" s="44"/>
      <c r="AI296" s="44"/>
      <c r="AJ296" s="44"/>
      <c r="AK296" s="36"/>
      <c r="AL296" s="36"/>
      <c r="AM296" s="36"/>
      <c r="AN296" s="37"/>
      <c r="AO296" s="37"/>
      <c r="AP296" s="37"/>
      <c r="AQ296" s="37"/>
      <c r="AR296" s="37"/>
      <c r="AS296" s="37"/>
      <c r="AT296" s="37"/>
      <c r="AU296" s="37"/>
      <c r="AV296" s="37"/>
      <c r="AW296" s="37"/>
      <c r="AX296" s="37"/>
      <c r="AY296" s="37"/>
      <c r="AZ296" s="37"/>
      <c r="BA296" s="37"/>
      <c r="BB296" s="37"/>
      <c r="BC296" s="37"/>
      <c r="BD296" s="37"/>
      <c r="BE296" s="37"/>
    </row>
    <row r="297" spans="2:57" s="31" customFormat="1" ht="31" x14ac:dyDescent="0.3">
      <c r="B297" s="170" t="s">
        <v>572</v>
      </c>
      <c r="C297" s="160"/>
      <c r="D297" s="84" t="s">
        <v>8</v>
      </c>
      <c r="E297" s="34"/>
      <c r="F297" s="34"/>
      <c r="G297" s="34"/>
      <c r="H297" s="84"/>
      <c r="J297" s="33" t="s">
        <v>560</v>
      </c>
      <c r="K297" s="96" t="str">
        <f>IF(ISNUMBER(L297),L297,"")</f>
        <v/>
      </c>
      <c r="L297" s="185"/>
      <c r="M297" s="41" t="s">
        <v>277</v>
      </c>
      <c r="N297" s="41"/>
      <c r="O297" s="265"/>
      <c r="Q297" s="35"/>
      <c r="R297" s="242" t="str">
        <f>IF(AND(ISNUMBER(K297),ISNUMBER(C297)),-K297*C297,"")</f>
        <v/>
      </c>
      <c r="S297" s="232" t="s">
        <v>172</v>
      </c>
      <c r="T297" s="231" t="s">
        <v>383</v>
      </c>
      <c r="U297" s="44"/>
      <c r="V297" s="44"/>
      <c r="W297" s="44"/>
      <c r="X297" s="44"/>
      <c r="Y297" s="44"/>
      <c r="Z297" s="44"/>
      <c r="AA297" s="44"/>
      <c r="AB297" s="44"/>
      <c r="AC297" s="44"/>
      <c r="AD297" s="44"/>
      <c r="AE297" s="44"/>
      <c r="AF297" s="44"/>
      <c r="AG297" s="44"/>
      <c r="AH297" s="44"/>
      <c r="AI297" s="44"/>
      <c r="AJ297" s="44"/>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7" s="31" customFormat="1" ht="31" x14ac:dyDescent="0.3">
      <c r="B298" s="170" t="s">
        <v>571</v>
      </c>
      <c r="C298" s="160"/>
      <c r="D298" s="84" t="s">
        <v>8</v>
      </c>
      <c r="E298" s="34"/>
      <c r="F298" s="34"/>
      <c r="G298" s="34"/>
      <c r="H298" s="84"/>
      <c r="J298" s="33" t="s">
        <v>564</v>
      </c>
      <c r="K298" s="96" t="str">
        <f>IF(ISNUMBER(L298),L298,"")</f>
        <v/>
      </c>
      <c r="L298" s="185"/>
      <c r="M298" s="41" t="s">
        <v>277</v>
      </c>
      <c r="N298" s="41"/>
      <c r="O298" s="265"/>
      <c r="Q298" s="35"/>
      <c r="R298" s="242" t="str">
        <f>IF(AND(ISNUMBER(K298),ISNUMBER(C298)),-K298*C298,"")</f>
        <v/>
      </c>
      <c r="S298" s="232" t="s">
        <v>172</v>
      </c>
      <c r="T298" s="231" t="s">
        <v>383</v>
      </c>
      <c r="U298" s="44"/>
      <c r="V298" s="44"/>
      <c r="W298" s="44"/>
      <c r="X298" s="44"/>
      <c r="Y298" s="44"/>
      <c r="Z298" s="44"/>
      <c r="AA298" s="44"/>
      <c r="AB298" s="44"/>
      <c r="AC298" s="44"/>
      <c r="AD298" s="44"/>
      <c r="AE298" s="44"/>
      <c r="AF298" s="44"/>
      <c r="AG298" s="44"/>
      <c r="AH298" s="44"/>
      <c r="AI298" s="44"/>
      <c r="AJ298" s="44"/>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7" s="31" customFormat="1" ht="15.5" x14ac:dyDescent="0.3">
      <c r="B299" s="136" t="s">
        <v>559</v>
      </c>
      <c r="C299" s="66"/>
      <c r="D299" s="84" t="s">
        <v>52</v>
      </c>
      <c r="G299" s="34"/>
      <c r="H299" s="84"/>
      <c r="J299" s="33" t="s">
        <v>382</v>
      </c>
      <c r="K299" s="138">
        <f>IF(ISNUMBER(L299),L299,Muut!$H$30)</f>
        <v>33.857142857142854</v>
      </c>
      <c r="L299" s="63"/>
      <c r="M299" s="41" t="s">
        <v>277</v>
      </c>
      <c r="N299" s="41"/>
      <c r="O299" s="265"/>
      <c r="Q299" s="35"/>
      <c r="R299" s="242" t="str">
        <f>IF(AND(ISNUMBER(K299),ISNUMBER(C299)),K299*C299,"")</f>
        <v/>
      </c>
      <c r="S299" s="232" t="s">
        <v>172</v>
      </c>
      <c r="T299" s="44"/>
      <c r="U299" s="44"/>
      <c r="V299" s="44"/>
      <c r="W299" s="44"/>
      <c r="X299" s="44"/>
      <c r="Y299" s="44"/>
      <c r="Z299" s="44"/>
      <c r="AA299" s="44"/>
      <c r="AB299" s="44"/>
      <c r="AC299" s="44"/>
      <c r="AD299" s="44"/>
      <c r="AE299" s="44"/>
      <c r="AF299" s="44"/>
      <c r="AG299" s="44"/>
      <c r="AH299" s="44"/>
      <c r="AI299" s="44"/>
      <c r="AJ299" s="44"/>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7" s="31" customFormat="1" ht="31" x14ac:dyDescent="0.3">
      <c r="B300" s="170" t="s">
        <v>572</v>
      </c>
      <c r="C300" s="160"/>
      <c r="D300" s="84" t="s">
        <v>8</v>
      </c>
      <c r="E300" s="34"/>
      <c r="F300" s="34"/>
      <c r="G300" s="34"/>
      <c r="H300" s="84"/>
      <c r="J300" s="33" t="s">
        <v>560</v>
      </c>
      <c r="K300" s="96" t="str">
        <f>IF(ISNUMBER(L300),L300,"")</f>
        <v/>
      </c>
      <c r="L300" s="185"/>
      <c r="M300" s="41" t="s">
        <v>277</v>
      </c>
      <c r="N300" s="41"/>
      <c r="O300" s="265"/>
      <c r="Q300" s="35"/>
      <c r="R300" s="242" t="str">
        <f>IF(AND(ISNUMBER(K300),ISNUMBER(C300)),-K300*C300,"")</f>
        <v/>
      </c>
      <c r="S300" s="232" t="s">
        <v>172</v>
      </c>
      <c r="T300" s="231" t="s">
        <v>383</v>
      </c>
      <c r="U300" s="44"/>
      <c r="V300" s="44"/>
      <c r="W300" s="44"/>
      <c r="X300" s="44"/>
      <c r="Y300" s="44"/>
      <c r="Z300" s="44"/>
      <c r="AA300" s="44"/>
      <c r="AB300" s="44"/>
      <c r="AC300" s="44"/>
      <c r="AD300" s="44"/>
      <c r="AE300" s="44"/>
      <c r="AF300" s="44"/>
      <c r="AG300" s="44"/>
      <c r="AH300" s="44"/>
      <c r="AI300" s="44"/>
      <c r="AJ300" s="44"/>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7" s="31" customFormat="1" ht="31" x14ac:dyDescent="0.3">
      <c r="B301" s="170" t="s">
        <v>571</v>
      </c>
      <c r="C301" s="160"/>
      <c r="D301" s="84" t="s">
        <v>8</v>
      </c>
      <c r="E301" s="34"/>
      <c r="F301" s="34"/>
      <c r="G301" s="34"/>
      <c r="H301" s="84"/>
      <c r="J301" s="33" t="s">
        <v>564</v>
      </c>
      <c r="K301" s="96" t="str">
        <f>IF(ISNUMBER(L301),L301,"")</f>
        <v/>
      </c>
      <c r="L301" s="185"/>
      <c r="M301" s="41" t="s">
        <v>277</v>
      </c>
      <c r="N301" s="41"/>
      <c r="O301" s="265"/>
      <c r="Q301" s="35"/>
      <c r="R301" s="242" t="str">
        <f>IF(AND(ISNUMBER(K301),ISNUMBER(C301)),-K301*C301,"")</f>
        <v/>
      </c>
      <c r="S301" s="232" t="s">
        <v>172</v>
      </c>
      <c r="T301" s="231" t="s">
        <v>383</v>
      </c>
      <c r="U301" s="44"/>
      <c r="V301" s="44"/>
      <c r="W301" s="44"/>
      <c r="X301" s="44"/>
      <c r="Y301" s="44"/>
      <c r="Z301" s="44"/>
      <c r="AA301" s="44"/>
      <c r="AB301" s="44"/>
      <c r="AC301" s="44"/>
      <c r="AD301" s="44"/>
      <c r="AE301" s="44"/>
      <c r="AF301" s="44"/>
      <c r="AG301" s="44"/>
      <c r="AH301" s="44"/>
      <c r="AI301" s="44"/>
      <c r="AJ301" s="44"/>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7" s="31" customFormat="1" ht="15.5" x14ac:dyDescent="0.3">
      <c r="C302" s="34"/>
      <c r="D302" s="84"/>
      <c r="G302" s="34"/>
      <c r="H302" s="84"/>
      <c r="J302" s="33"/>
      <c r="K302" s="34"/>
      <c r="L302" s="34"/>
      <c r="M302" s="84"/>
      <c r="N302" s="84"/>
      <c r="O302" s="100"/>
      <c r="Q302" s="35"/>
      <c r="R302" s="44"/>
      <c r="S302" s="44"/>
      <c r="T302" s="44"/>
      <c r="U302" s="44"/>
      <c r="V302" s="44"/>
      <c r="W302" s="44"/>
      <c r="X302" s="44"/>
      <c r="Y302" s="44"/>
      <c r="Z302" s="44"/>
      <c r="AA302" s="44"/>
      <c r="AB302" s="44"/>
      <c r="AC302" s="44"/>
      <c r="AD302" s="44"/>
      <c r="AE302" s="44"/>
      <c r="AF302" s="44"/>
      <c r="AG302" s="44"/>
      <c r="AH302" s="44"/>
      <c r="AI302" s="44"/>
      <c r="AJ302" s="44"/>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7" s="31" customFormat="1" ht="15.5" x14ac:dyDescent="0.3">
      <c r="B303" s="9" t="s">
        <v>11</v>
      </c>
      <c r="C303" s="34"/>
      <c r="D303" s="84"/>
      <c r="G303" s="34"/>
      <c r="H303" s="84"/>
      <c r="J303" s="33"/>
      <c r="K303" s="38"/>
      <c r="L303" s="38"/>
      <c r="M303" s="84"/>
      <c r="N303" s="84"/>
      <c r="O303" s="100"/>
      <c r="Q303" s="35"/>
      <c r="R303" s="44"/>
      <c r="S303" s="44"/>
      <c r="T303" s="44"/>
      <c r="U303" s="44"/>
      <c r="V303" s="44"/>
      <c r="W303" s="44"/>
      <c r="X303" s="44"/>
      <c r="Y303" s="44"/>
      <c r="Z303" s="44"/>
      <c r="AA303" s="44"/>
      <c r="AB303" s="44"/>
      <c r="AC303" s="44"/>
      <c r="AD303" s="44"/>
      <c r="AE303" s="44"/>
      <c r="AF303" s="44"/>
      <c r="AG303" s="44"/>
      <c r="AH303" s="44"/>
      <c r="AI303" s="44"/>
      <c r="AJ303" s="44"/>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7" s="31" customFormat="1" ht="15.5" x14ac:dyDescent="0.3">
      <c r="B304" s="9"/>
      <c r="C304" s="34"/>
      <c r="D304" s="84"/>
      <c r="G304" s="34"/>
      <c r="H304" s="84"/>
      <c r="J304" s="33"/>
      <c r="K304" s="38" t="s">
        <v>329</v>
      </c>
      <c r="L304" s="38" t="s">
        <v>201</v>
      </c>
      <c r="M304" s="84"/>
      <c r="N304" s="84"/>
      <c r="O304" s="100"/>
      <c r="Q304" s="35"/>
      <c r="R304" s="44" t="s">
        <v>350</v>
      </c>
      <c r="S304" s="44"/>
      <c r="T304" s="44"/>
      <c r="U304" s="44"/>
      <c r="V304" s="44"/>
      <c r="W304" s="44"/>
      <c r="X304" s="44"/>
      <c r="Y304" s="44"/>
      <c r="Z304" s="44"/>
      <c r="AA304" s="44"/>
      <c r="AB304" s="44"/>
      <c r="AC304" s="44"/>
      <c r="AD304" s="44"/>
      <c r="AE304" s="44"/>
      <c r="AF304" s="44"/>
      <c r="AG304" s="44"/>
      <c r="AH304" s="44"/>
      <c r="AI304" s="44"/>
      <c r="AJ304" s="44"/>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9" s="31" customFormat="1" ht="31" x14ac:dyDescent="0.3">
      <c r="B305" s="78" t="s">
        <v>515</v>
      </c>
      <c r="C305" s="160"/>
      <c r="D305" s="84" t="s">
        <v>175</v>
      </c>
      <c r="G305" s="34"/>
      <c r="H305" s="84"/>
      <c r="J305" s="33" t="s">
        <v>565</v>
      </c>
      <c r="K305" s="96">
        <f>IF(ISNUMBER(L305),L305,Muut!$H$28*IF(OR(C306=Pudotusvalikot!$V$3,C306=Pudotusvalikot!$V$4),Muut!$E$38,IF(C306=Pudotusvalikot!$V$5,Muut!$E$39,IF(C306=Pudotusvalikot!$V$6,Muut!$E$40,Muut!$E$41))))</f>
        <v>0.22753333333333334</v>
      </c>
      <c r="L305" s="63"/>
      <c r="M305" s="41" t="s">
        <v>226</v>
      </c>
      <c r="N305" s="41"/>
      <c r="O305" s="265"/>
      <c r="Q305" s="35"/>
      <c r="R305" s="242" t="str">
        <f>IF(AND(ISNUMBER(K305),ISNUMBER(C305)),K305*C305,"")</f>
        <v/>
      </c>
      <c r="S305" s="232" t="s">
        <v>172</v>
      </c>
      <c r="T305" s="221"/>
      <c r="U305" s="221"/>
      <c r="V305" s="221"/>
      <c r="W305" s="44"/>
      <c r="X305" s="44"/>
      <c r="Y305" s="44"/>
      <c r="Z305" s="44"/>
      <c r="AA305" s="44"/>
      <c r="AB305" s="44"/>
      <c r="AC305" s="44"/>
      <c r="AD305" s="44"/>
      <c r="AE305" s="44"/>
      <c r="AF305" s="44"/>
      <c r="AG305" s="44"/>
      <c r="AH305" s="44"/>
      <c r="AI305" s="44"/>
      <c r="AJ305" s="44"/>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9" s="31" customFormat="1" ht="15.5" x14ac:dyDescent="0.3">
      <c r="B306" s="170" t="s">
        <v>509</v>
      </c>
      <c r="C306" s="160" t="s">
        <v>242</v>
      </c>
      <c r="D306" s="34"/>
      <c r="E306" s="34"/>
      <c r="F306" s="34"/>
      <c r="G306" s="34"/>
      <c r="H306" s="59"/>
      <c r="J306" s="173"/>
      <c r="K306" s="173"/>
      <c r="L306" s="173"/>
      <c r="M306" s="41"/>
      <c r="N306" s="41"/>
      <c r="O306" s="265"/>
      <c r="Q306" s="47"/>
      <c r="R306" s="221"/>
      <c r="S306" s="232"/>
      <c r="T306" s="44"/>
      <c r="U306" s="44"/>
      <c r="V306" s="220"/>
      <c r="W306" s="220"/>
      <c r="X306" s="221"/>
      <c r="Y306" s="44"/>
      <c r="Z306" s="221"/>
      <c r="AA306" s="222"/>
      <c r="AB306" s="221"/>
      <c r="AC306" s="221"/>
      <c r="AD306" s="221"/>
      <c r="AE306" s="221"/>
      <c r="AF306" s="222"/>
      <c r="AG306" s="221"/>
      <c r="AH306" s="44"/>
      <c r="AI306" s="44"/>
      <c r="AJ306" s="44"/>
      <c r="AK306" s="108"/>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9" s="31" customFormat="1" ht="46.5" x14ac:dyDescent="0.3">
      <c r="B307" s="78" t="s">
        <v>596</v>
      </c>
      <c r="C307" s="160"/>
      <c r="D307" s="84" t="s">
        <v>175</v>
      </c>
      <c r="G307" s="34"/>
      <c r="H307" s="84"/>
      <c r="J307" s="33" t="s">
        <v>522</v>
      </c>
      <c r="K307" s="138">
        <f>IF(ISNUMBER(L307),L307,Muut!$H$29)</f>
        <v>9.4500000000000011</v>
      </c>
      <c r="L307" s="185"/>
      <c r="M307" s="41" t="s">
        <v>226</v>
      </c>
      <c r="N307" s="41"/>
      <c r="O307" s="265"/>
      <c r="Q307" s="35"/>
      <c r="R307" s="242" t="str">
        <f>IF(AND(ISNUMBER(K307),ISNUMBER(C307)),K307*C307,"")</f>
        <v/>
      </c>
      <c r="S307" s="232" t="s">
        <v>172</v>
      </c>
      <c r="T307" s="44"/>
      <c r="U307" s="44"/>
      <c r="V307" s="44"/>
      <c r="W307" s="44"/>
      <c r="X307" s="44"/>
      <c r="Y307" s="44"/>
      <c r="Z307" s="44"/>
      <c r="AA307" s="44"/>
      <c r="AB307" s="44"/>
      <c r="AC307" s="44"/>
      <c r="AD307" s="44"/>
      <c r="AE307" s="44"/>
      <c r="AF307" s="44"/>
      <c r="AG307" s="44"/>
      <c r="AH307" s="44"/>
      <c r="AI307" s="44"/>
      <c r="AJ307" s="44"/>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9" s="31" customFormat="1" ht="46.5" x14ac:dyDescent="0.3">
      <c r="B308" s="170" t="s">
        <v>572</v>
      </c>
      <c r="C308" s="160"/>
      <c r="D308" s="84" t="s">
        <v>8</v>
      </c>
      <c r="E308" s="34"/>
      <c r="F308" s="34"/>
      <c r="G308" s="34"/>
      <c r="H308" s="84"/>
      <c r="J308" s="33" t="s">
        <v>523</v>
      </c>
      <c r="K308" s="112">
        <f>IF(ISNUMBER(L308),L308,Muut!$H$31)</f>
        <v>9.4500000000000011</v>
      </c>
      <c r="L308" s="185"/>
      <c r="M308" s="41" t="s">
        <v>226</v>
      </c>
      <c r="N308" s="41"/>
      <c r="O308" s="265"/>
      <c r="Q308" s="35"/>
      <c r="R308" s="242" t="str">
        <f>IF(AND(ISNUMBER(K308),ISNUMBER(C307)),-K308*C307,"")</f>
        <v/>
      </c>
      <c r="S308" s="232" t="s">
        <v>172</v>
      </c>
      <c r="T308" s="232" t="s">
        <v>524</v>
      </c>
      <c r="U308" s="44"/>
      <c r="V308" s="44"/>
      <c r="W308" s="44"/>
      <c r="X308" s="44"/>
      <c r="Y308" s="44"/>
      <c r="Z308" s="44"/>
      <c r="AA308" s="44"/>
      <c r="AB308" s="44"/>
      <c r="AC308" s="44"/>
      <c r="AD308" s="44"/>
      <c r="AE308" s="44"/>
      <c r="AF308" s="44"/>
      <c r="AG308" s="44"/>
      <c r="AH308" s="44"/>
      <c r="AI308" s="44"/>
      <c r="AJ308" s="44"/>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9" s="31" customFormat="1" ht="15.5" x14ac:dyDescent="0.3">
      <c r="B309" s="75"/>
      <c r="C309" s="34"/>
      <c r="D309" s="84"/>
      <c r="G309" s="34"/>
      <c r="H309" s="84"/>
      <c r="J309" s="33"/>
      <c r="P309" s="69"/>
      <c r="Q309" s="108"/>
      <c r="R309" s="243"/>
      <c r="S309" s="225"/>
      <c r="T309" s="174"/>
      <c r="U309" s="44"/>
      <c r="V309" s="44"/>
      <c r="W309" s="44"/>
      <c r="X309" s="44"/>
      <c r="Y309" s="44"/>
      <c r="Z309" s="44"/>
      <c r="AA309" s="44"/>
      <c r="AB309" s="44"/>
      <c r="AC309" s="44"/>
      <c r="AD309" s="44"/>
      <c r="AE309" s="44"/>
      <c r="AF309" s="44"/>
      <c r="AG309" s="44"/>
      <c r="AH309" s="44"/>
      <c r="AI309" s="44"/>
      <c r="AJ309" s="44"/>
      <c r="AK309" s="36"/>
      <c r="AL309" s="36"/>
      <c r="AM309" s="36"/>
      <c r="AN309" s="36"/>
      <c r="AO309" s="36"/>
      <c r="AP309" s="37"/>
      <c r="AQ309" s="37"/>
      <c r="AR309" s="37"/>
      <c r="AS309" s="37"/>
      <c r="AT309" s="37"/>
      <c r="AU309" s="37"/>
      <c r="AV309" s="37"/>
      <c r="AW309" s="37"/>
      <c r="AX309" s="37"/>
      <c r="AY309" s="37"/>
      <c r="AZ309" s="37"/>
      <c r="BA309" s="37"/>
      <c r="BB309" s="37"/>
      <c r="BC309" s="37"/>
      <c r="BD309" s="37"/>
      <c r="BE309" s="37"/>
      <c r="BF309" s="37"/>
      <c r="BG309" s="37"/>
    </row>
    <row r="310" spans="2:59" s="196" customFormat="1" ht="23" x14ac:dyDescent="0.3">
      <c r="B310" s="197" t="s">
        <v>616</v>
      </c>
      <c r="C310" s="198"/>
      <c r="D310" s="199"/>
      <c r="G310" s="198"/>
      <c r="H310" s="199"/>
      <c r="J310" s="200"/>
      <c r="P310" s="201"/>
      <c r="Q310" s="202"/>
      <c r="R310" s="237"/>
      <c r="S310" s="248"/>
      <c r="T310" s="214"/>
      <c r="U310" s="215"/>
      <c r="V310" s="215"/>
      <c r="W310" s="215"/>
      <c r="X310" s="215"/>
      <c r="Y310" s="215"/>
      <c r="Z310" s="215"/>
      <c r="AA310" s="215"/>
      <c r="AB310" s="215"/>
      <c r="AC310" s="215"/>
      <c r="AD310" s="215"/>
      <c r="AE310" s="215"/>
      <c r="AF310" s="215"/>
      <c r="AG310" s="215"/>
      <c r="AH310" s="215"/>
      <c r="AI310" s="215"/>
      <c r="AJ310" s="215"/>
      <c r="AK310" s="205"/>
      <c r="AL310" s="205"/>
      <c r="AM310" s="205"/>
      <c r="AN310" s="205"/>
      <c r="AO310" s="205"/>
      <c r="AP310" s="204"/>
      <c r="AQ310" s="204"/>
      <c r="AR310" s="204"/>
      <c r="AS310" s="204"/>
      <c r="AT310" s="204"/>
      <c r="AU310" s="204"/>
      <c r="AV310" s="204"/>
      <c r="AW310" s="204"/>
      <c r="AX310" s="204"/>
      <c r="AY310" s="204"/>
      <c r="AZ310" s="204"/>
      <c r="BA310" s="204"/>
      <c r="BB310" s="204"/>
      <c r="BC310" s="204"/>
      <c r="BD310" s="204"/>
      <c r="BE310" s="204"/>
      <c r="BF310" s="204"/>
      <c r="BG310" s="204"/>
    </row>
    <row r="311" spans="2:59" s="31" customFormat="1" ht="15.5" x14ac:dyDescent="0.3">
      <c r="C311" s="34"/>
      <c r="D311" s="84"/>
      <c r="G311" s="34"/>
      <c r="H311" s="84"/>
      <c r="P311" s="69"/>
      <c r="Q311" s="108"/>
      <c r="R311" s="243"/>
      <c r="S311" s="225"/>
      <c r="T311" s="174"/>
      <c r="U311" s="44"/>
      <c r="V311" s="44"/>
      <c r="W311" s="44"/>
      <c r="X311" s="44"/>
      <c r="Y311" s="44"/>
      <c r="Z311" s="44"/>
      <c r="AA311" s="44"/>
      <c r="AB311" s="44"/>
      <c r="AC311" s="44"/>
      <c r="AD311" s="44"/>
      <c r="AE311" s="44"/>
      <c r="AF311" s="44"/>
      <c r="AG311" s="44"/>
      <c r="AH311" s="44"/>
      <c r="AI311" s="44"/>
      <c r="AJ311" s="44"/>
      <c r="AK311" s="36"/>
      <c r="AL311" s="36"/>
      <c r="AM311" s="36"/>
      <c r="AN311" s="36"/>
      <c r="AO311" s="36"/>
      <c r="AP311" s="37"/>
      <c r="AQ311" s="37"/>
      <c r="AR311" s="37"/>
      <c r="AS311" s="37"/>
      <c r="AT311" s="37"/>
      <c r="AU311" s="37"/>
      <c r="AV311" s="37"/>
      <c r="AW311" s="37"/>
      <c r="AX311" s="37"/>
      <c r="AY311" s="37"/>
      <c r="AZ311" s="37"/>
      <c r="BA311" s="37"/>
      <c r="BB311" s="37"/>
      <c r="BC311" s="37"/>
      <c r="BD311" s="37"/>
      <c r="BE311" s="37"/>
      <c r="BF311" s="37"/>
      <c r="BG311" s="37"/>
    </row>
    <row r="312" spans="2:59" s="298" customFormat="1" ht="18" x14ac:dyDescent="0.3">
      <c r="B312" s="295" t="s">
        <v>42</v>
      </c>
      <c r="C312" s="296"/>
      <c r="D312" s="297"/>
      <c r="G312" s="296"/>
      <c r="H312" s="297"/>
      <c r="K312" s="296"/>
      <c r="L312" s="296"/>
      <c r="M312" s="297"/>
      <c r="N312" s="297"/>
      <c r="O312" s="300"/>
      <c r="P312" s="320"/>
      <c r="Q312" s="304"/>
      <c r="R312" s="298" t="str">
        <f>IF(OR(ISNUMBER(#REF!),ISNUMBER(#REF!),ISNUMBER(#REF!)),SUM(#REF!,#REF!,#REF!),"")</f>
        <v/>
      </c>
      <c r="S312" s="303"/>
      <c r="T312" s="303"/>
      <c r="U312" s="303"/>
      <c r="V312" s="303"/>
      <c r="W312" s="303"/>
      <c r="X312" s="303"/>
      <c r="Y312" s="303"/>
      <c r="Z312" s="303"/>
      <c r="AA312" s="303"/>
      <c r="AB312" s="303"/>
      <c r="AC312" s="303"/>
      <c r="AD312" s="303"/>
      <c r="AE312" s="303"/>
      <c r="AF312" s="303"/>
      <c r="AG312" s="303"/>
      <c r="AH312" s="303"/>
      <c r="AI312" s="303"/>
      <c r="AJ312" s="303"/>
      <c r="AK312" s="303"/>
      <c r="AL312" s="303"/>
      <c r="AM312" s="303"/>
      <c r="AN312" s="304"/>
      <c r="AO312" s="304"/>
      <c r="AP312" s="304"/>
      <c r="AQ312" s="304"/>
      <c r="AR312" s="304"/>
      <c r="AS312" s="304"/>
      <c r="AT312" s="304"/>
      <c r="AU312" s="304"/>
      <c r="AV312" s="304"/>
      <c r="AW312" s="304"/>
      <c r="AX312" s="304"/>
      <c r="AY312" s="304"/>
      <c r="AZ312" s="304"/>
      <c r="BA312" s="304"/>
      <c r="BB312" s="304"/>
      <c r="BC312" s="304"/>
      <c r="BD312" s="304"/>
      <c r="BE312" s="304"/>
    </row>
    <row r="313" spans="2:59" s="31" customFormat="1" ht="15.5" x14ac:dyDescent="0.3">
      <c r="B313" s="9"/>
      <c r="C313" s="34"/>
      <c r="D313" s="84"/>
      <c r="G313" s="34" t="s">
        <v>43</v>
      </c>
      <c r="H313" s="84"/>
      <c r="K313" s="38" t="s">
        <v>329</v>
      </c>
      <c r="L313" s="38" t="s">
        <v>201</v>
      </c>
      <c r="M313" s="84"/>
      <c r="N313" s="84"/>
      <c r="O313" s="255" t="s">
        <v>644</v>
      </c>
      <c r="Q313" s="35"/>
      <c r="R313" s="44" t="s">
        <v>350</v>
      </c>
      <c r="S313" s="44"/>
      <c r="T313" s="44" t="s">
        <v>267</v>
      </c>
      <c r="U313" s="44" t="s">
        <v>268</v>
      </c>
      <c r="V313" s="44" t="s">
        <v>269</v>
      </c>
      <c r="W313" s="44" t="s">
        <v>272</v>
      </c>
      <c r="X313" s="44" t="s">
        <v>270</v>
      </c>
      <c r="Y313" s="44" t="s">
        <v>271</v>
      </c>
      <c r="Z313" s="44" t="s">
        <v>273</v>
      </c>
      <c r="AA313" s="225"/>
      <c r="AB313" s="44"/>
      <c r="AC313" s="44"/>
      <c r="AD313" s="44"/>
      <c r="AE313" s="44"/>
      <c r="AF313" s="44"/>
      <c r="AG313" s="44"/>
      <c r="AH313" s="44"/>
      <c r="AI313" s="44"/>
      <c r="AJ313" s="44"/>
      <c r="AK313" s="36"/>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9" s="31" customFormat="1" ht="15.5" x14ac:dyDescent="0.3">
      <c r="B314" s="54" t="s">
        <v>578</v>
      </c>
      <c r="C314" s="160"/>
      <c r="D314" s="84" t="s">
        <v>234</v>
      </c>
      <c r="G314" s="160"/>
      <c r="H314" s="84" t="s">
        <v>44</v>
      </c>
      <c r="J314" s="33" t="s">
        <v>566</v>
      </c>
      <c r="K314" s="112">
        <f>IF(ISNUMBER(L314),L314,IF(C316=Pudotusvalikot!$J$4,Kalusto!$E$98,IF(C316=Pudotusvalikot!$J$5,Kalusto!$E$99,IF(C316=Pudotusvalikot!$J$6,Kalusto!$E$100,IF(C316=Pudotusvalikot!$J$7,Kalusto!$E$101,IF(C316=Pudotusvalikot!$J$8,Kalusto!$E$102,IF(C316=Pudotusvalikot!$J$9,Kalusto!$E$103,IF(C316=Pudotusvalikot!$J$11,Kalusto!$E$104,Kalusto!$E$98))))))))</f>
        <v>5.5</v>
      </c>
      <c r="L314" s="63"/>
      <c r="M314" s="77" t="str">
        <f>IF(C316=Pudotusvalikot!$J$9,"kWh/100 km",IF(C316=Pudotusvalikot!$J$6,"kg/100 km","l/100 km"))</f>
        <v>l/100 km</v>
      </c>
      <c r="N314" s="77"/>
      <c r="O314" s="256"/>
      <c r="Q314" s="35"/>
      <c r="R314" s="242">
        <f>SUM(U314:Z314)</f>
        <v>0</v>
      </c>
      <c r="S314" s="232" t="s">
        <v>172</v>
      </c>
      <c r="T314" s="216">
        <f>IF(ISNUMBER(C315*C314*G314),C315*C314*G314,"")</f>
        <v>0</v>
      </c>
      <c r="U314" s="218">
        <f>IF(ISNUMBER(T314),IF(C316=Pudotusvalikot!$J$5,(Muut!$H$15+Muut!$H$18)*(T314*K314/100),0),"")</f>
        <v>0</v>
      </c>
      <c r="V314" s="218">
        <f>IF(ISNUMBER(T314),IF(C316=Pudotusvalikot!$J$4,(Muut!$H$14+Muut!$H$17)*(T314*K314/100),0),"")</f>
        <v>0</v>
      </c>
      <c r="W314" s="218">
        <f>IF(ISNUMBER(T314),IF(C316=Pudotusvalikot!$J$6,(Muut!$H$16+Muut!$H$19)*(T314*K314/100),0),"")</f>
        <v>0</v>
      </c>
      <c r="X314" s="218">
        <f>IF(ISNUMBER(T314),IF(C316=Pudotusvalikot!$J$7,((Muut!$H$15+Muut!$H$18)*(100%-Kalusto!$O$101)+(Muut!$H$14+Muut!$H$17)*Kalusto!$O$101)*(T314*K314/100),0),"")</f>
        <v>0</v>
      </c>
      <c r="Y314" s="230">
        <f>IF(ISNUMBER(T314),IF(C316=Pudotusvalikot!$J$8,((Kalusto!$K$102)*(100%-Kalusto!$O$102)+(Kalusto!$M$102)*Kalusto!$O$102)*(Muut!$H$13+Muut!$H$12)/100*T314/1000+((Kalusto!$G$102)*(100%-Kalusto!$O$102)+(Kalusto!$I$102)*Kalusto!$O$102)*(K314+Muut!$H$18)/100*T314,0),"")</f>
        <v>0</v>
      </c>
      <c r="Z314" s="230">
        <f>IF(ISNUMBER(T314),IF(C316=Pudotusvalikot!$J$9,Kalusto!$E$103*(K314+Muut!$H$12)/100*T314/1000,0),"")</f>
        <v>0</v>
      </c>
      <c r="AA314" s="225"/>
      <c r="AB314" s="44"/>
      <c r="AC314" s="44"/>
      <c r="AD314" s="44"/>
      <c r="AE314" s="44"/>
      <c r="AF314" s="44"/>
      <c r="AG314" s="44"/>
      <c r="AH314" s="44"/>
      <c r="AI314" s="44"/>
      <c r="AJ314" s="44"/>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9" s="31" customFormat="1" ht="15.5" x14ac:dyDescent="0.3">
      <c r="B315" s="54" t="s">
        <v>577</v>
      </c>
      <c r="C315" s="161"/>
      <c r="D315" s="84" t="s">
        <v>5</v>
      </c>
      <c r="G315" s="34"/>
      <c r="H315" s="84"/>
      <c r="J315" s="33"/>
      <c r="K315" s="34"/>
      <c r="L315" s="34"/>
      <c r="M315" s="84"/>
      <c r="N315" s="84"/>
      <c r="O315" s="100"/>
      <c r="Q315" s="35"/>
      <c r="R315" s="106"/>
      <c r="S315" s="44"/>
      <c r="T315" s="44"/>
      <c r="U315" s="44"/>
      <c r="V315" s="44"/>
      <c r="W315" s="44"/>
      <c r="X315" s="44"/>
      <c r="Y315" s="44"/>
      <c r="Z315" s="44"/>
      <c r="AA315" s="44"/>
      <c r="AB315" s="44"/>
      <c r="AC315" s="44"/>
      <c r="AD315" s="44"/>
      <c r="AE315" s="44"/>
      <c r="AF315" s="44"/>
      <c r="AG315" s="44"/>
      <c r="AH315" s="44"/>
      <c r="AI315" s="44"/>
      <c r="AJ315" s="44"/>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9" s="31" customFormat="1" ht="15.5" x14ac:dyDescent="0.3">
      <c r="B316" s="54" t="s">
        <v>576</v>
      </c>
      <c r="C316" s="399" t="s">
        <v>242</v>
      </c>
      <c r="D316" s="399"/>
      <c r="G316" s="34"/>
      <c r="H316" s="84"/>
      <c r="J316" s="33"/>
      <c r="K316" s="34"/>
      <c r="L316" s="34"/>
      <c r="M316" s="84"/>
      <c r="N316" s="84"/>
      <c r="O316" s="100"/>
      <c r="Q316" s="35"/>
      <c r="R316" s="106"/>
      <c r="S316" s="44"/>
      <c r="T316" s="44"/>
      <c r="U316" s="44"/>
      <c r="V316" s="44"/>
      <c r="W316" s="44"/>
      <c r="X316" s="44"/>
      <c r="Y316" s="44"/>
      <c r="Z316" s="44"/>
      <c r="AA316" s="44"/>
      <c r="AB316" s="44"/>
      <c r="AC316" s="44"/>
      <c r="AD316" s="44"/>
      <c r="AE316" s="44"/>
      <c r="AF316" s="44"/>
      <c r="AG316" s="44"/>
      <c r="AH316" s="44"/>
      <c r="AI316" s="44"/>
      <c r="AJ316" s="44"/>
      <c r="AK316" s="36"/>
      <c r="AL316" s="36"/>
      <c r="AM316" s="36"/>
      <c r="AN316" s="37"/>
      <c r="AO316" s="37"/>
      <c r="AP316" s="37"/>
      <c r="AQ316" s="37"/>
      <c r="AR316" s="37"/>
      <c r="AS316" s="37"/>
      <c r="AT316" s="37"/>
      <c r="AU316" s="37"/>
      <c r="AV316" s="37"/>
      <c r="AW316" s="37"/>
      <c r="AX316" s="37"/>
      <c r="AY316" s="37"/>
      <c r="AZ316" s="37"/>
      <c r="BA316" s="37"/>
      <c r="BB316" s="37"/>
      <c r="BC316" s="37"/>
      <c r="BD316" s="37"/>
      <c r="BE316" s="37"/>
    </row>
    <row r="318" spans="2:59" ht="13.9" hidden="1" customHeight="1" x14ac:dyDescent="0.3"/>
    <row r="319" spans="2:59" ht="13.9" hidden="1" customHeight="1" x14ac:dyDescent="0.3"/>
    <row r="320" spans="2:59" ht="13.9" hidden="1" customHeight="1" x14ac:dyDescent="0.3"/>
    <row r="321" ht="13.9" hidden="1" customHeight="1" x14ac:dyDescent="0.3"/>
    <row r="322" ht="13.9" hidden="1" customHeight="1" x14ac:dyDescent="0.3"/>
    <row r="323" ht="13.9" hidden="1" customHeight="1" x14ac:dyDescent="0.3"/>
    <row r="324" ht="13.9" hidden="1" customHeight="1" x14ac:dyDescent="0.3"/>
    <row r="325" ht="13.9" hidden="1" customHeight="1" x14ac:dyDescent="0.3"/>
    <row r="326" ht="13.9" hidden="1" customHeight="1" x14ac:dyDescent="0.3"/>
    <row r="327" ht="13.9" hidden="1" customHeight="1" x14ac:dyDescent="0.3"/>
    <row r="328" ht="13.9" hidden="1" customHeight="1" x14ac:dyDescent="0.3"/>
    <row r="329" ht="13.9" hidden="1" customHeight="1" x14ac:dyDescent="0.3"/>
    <row r="330" ht="13.9" hidden="1" customHeight="1" x14ac:dyDescent="0.3"/>
    <row r="331" ht="13.9" hidden="1" customHeight="1" x14ac:dyDescent="0.3"/>
    <row r="332" ht="13.9" hidden="1" customHeight="1" x14ac:dyDescent="0.3"/>
    <row r="333" ht="13.9" hidden="1" customHeight="1" x14ac:dyDescent="0.3"/>
    <row r="334" ht="13.9" hidden="1" customHeight="1" x14ac:dyDescent="0.3"/>
    <row r="335" ht="13.9" hidden="1" customHeight="1" x14ac:dyDescent="0.3"/>
    <row r="336" ht="13.9" hidden="1" customHeight="1" x14ac:dyDescent="0.3"/>
    <row r="337" ht="13.9" hidden="1" customHeight="1" x14ac:dyDescent="0.3"/>
    <row r="338" ht="13.9" hidden="1" customHeight="1" x14ac:dyDescent="0.3"/>
    <row r="339" ht="13.9" hidden="1" customHeight="1" x14ac:dyDescent="0.3"/>
    <row r="340" ht="13.9" hidden="1" customHeight="1" x14ac:dyDescent="0.3"/>
    <row r="341" ht="13.9" hidden="1" customHeight="1" x14ac:dyDescent="0.3"/>
    <row r="342" ht="13.9" hidden="1" customHeight="1" x14ac:dyDescent="0.3"/>
    <row r="343" ht="13.9" hidden="1" customHeight="1" x14ac:dyDescent="0.3"/>
    <row r="344" ht="13.9" hidden="1" customHeight="1" x14ac:dyDescent="0.3"/>
    <row r="345" ht="13.9" hidden="1" customHeight="1" x14ac:dyDescent="0.3"/>
    <row r="346" ht="13.9" hidden="1" customHeight="1" x14ac:dyDescent="0.3"/>
    <row r="347" ht="13.9" hidden="1" customHeight="1" x14ac:dyDescent="0.3"/>
    <row r="348" ht="13.9" hidden="1" customHeight="1" x14ac:dyDescent="0.3"/>
    <row r="349" ht="13.9" hidden="1" customHeight="1" x14ac:dyDescent="0.3"/>
    <row r="350" ht="13.9" hidden="1" customHeight="1" x14ac:dyDescent="0.3"/>
    <row r="351" ht="13.9" hidden="1" customHeight="1" x14ac:dyDescent="0.3"/>
    <row r="352" ht="13.9" hidden="1" customHeight="1" x14ac:dyDescent="0.3"/>
    <row r="353" ht="13.9" hidden="1" customHeight="1" x14ac:dyDescent="0.3"/>
    <row r="354" ht="13.9" hidden="1" customHeight="1" x14ac:dyDescent="0.3"/>
    <row r="355" ht="13.9" hidden="1" customHeight="1" x14ac:dyDescent="0.3"/>
    <row r="356" ht="13.9" hidden="1" customHeight="1" x14ac:dyDescent="0.3"/>
    <row r="357" ht="13.9" hidden="1" customHeight="1" x14ac:dyDescent="0.3"/>
    <row r="358" ht="13.9" hidden="1" customHeight="1" x14ac:dyDescent="0.3"/>
    <row r="359" ht="13.9" hidden="1" customHeight="1" x14ac:dyDescent="0.3"/>
    <row r="360" ht="13.9" hidden="1" customHeight="1" x14ac:dyDescent="0.3"/>
    <row r="361" ht="13.9" hidden="1" customHeight="1" x14ac:dyDescent="0.3"/>
    <row r="362" ht="13.9" hidden="1" customHeight="1" x14ac:dyDescent="0.3"/>
    <row r="363" ht="13.9" hidden="1" customHeight="1" x14ac:dyDescent="0.3"/>
    <row r="364" ht="13.9" hidden="1" customHeight="1" x14ac:dyDescent="0.3"/>
    <row r="365" ht="13.9" hidden="1" customHeight="1" x14ac:dyDescent="0.3"/>
    <row r="366" ht="13.9" hidden="1" customHeight="1" x14ac:dyDescent="0.3"/>
    <row r="367" ht="13.9" hidden="1" customHeight="1" x14ac:dyDescent="0.3"/>
    <row r="368" ht="13.9" hidden="1" customHeight="1" x14ac:dyDescent="0.3"/>
    <row r="369" ht="13.9" hidden="1" customHeight="1" x14ac:dyDescent="0.3"/>
    <row r="370" ht="13.9" hidden="1" customHeight="1" x14ac:dyDescent="0.3"/>
    <row r="371" ht="13.9" hidden="1" customHeight="1" x14ac:dyDescent="0.3"/>
    <row r="372" ht="13.9" hidden="1" customHeight="1" x14ac:dyDescent="0.3"/>
    <row r="373" ht="13.9" hidden="1" customHeight="1" x14ac:dyDescent="0.3"/>
    <row r="374" ht="13.9" hidden="1" customHeight="1" x14ac:dyDescent="0.3"/>
    <row r="375" ht="13.9" hidden="1" customHeight="1" x14ac:dyDescent="0.3"/>
    <row r="376" ht="13.9" hidden="1" customHeight="1" x14ac:dyDescent="0.3"/>
    <row r="377" ht="13.9" hidden="1" customHeight="1" x14ac:dyDescent="0.3"/>
    <row r="378" ht="13.9" hidden="1" customHeight="1" x14ac:dyDescent="0.3"/>
    <row r="379" ht="13.9" hidden="1" customHeight="1" x14ac:dyDescent="0.3"/>
    <row r="380" ht="13.9" hidden="1" customHeight="1" x14ac:dyDescent="0.3"/>
    <row r="381" ht="13.9" hidden="1" customHeight="1" x14ac:dyDescent="0.3"/>
    <row r="382" ht="13.9" hidden="1" customHeight="1" x14ac:dyDescent="0.3"/>
    <row r="383" ht="13.9" hidden="1" customHeight="1" x14ac:dyDescent="0.3"/>
    <row r="384" ht="13.9" hidden="1" customHeight="1" x14ac:dyDescent="0.3"/>
    <row r="385" spans="4:59" ht="13.9" hidden="1" customHeight="1" x14ac:dyDescent="0.3"/>
    <row r="386" spans="4:59" ht="13.9" hidden="1" customHeight="1" x14ac:dyDescent="0.3"/>
    <row r="387" spans="4:59" ht="13.9" hidden="1" customHeight="1" x14ac:dyDescent="0.3"/>
    <row r="388" spans="4:59" ht="13.9" hidden="1" customHeight="1" x14ac:dyDescent="0.3"/>
    <row r="389" spans="4:59" ht="13.9" hidden="1" customHeight="1" x14ac:dyDescent="0.3"/>
    <row r="390" spans="4:59" ht="13.9" hidden="1" customHeight="1" x14ac:dyDescent="0.3"/>
    <row r="391" spans="4:59" ht="13.9" hidden="1" customHeight="1" x14ac:dyDescent="0.3"/>
    <row r="392" spans="4:59" ht="13.9" hidden="1" customHeight="1" x14ac:dyDescent="0.3"/>
    <row r="393" spans="4:59" ht="13.9" hidden="1" customHeight="1" x14ac:dyDescent="0.3"/>
    <row r="394" spans="4:59" ht="13.9" hidden="1" customHeight="1" x14ac:dyDescent="0.3"/>
    <row r="395" spans="4:59" ht="13.9" hidden="1" customHeight="1" x14ac:dyDescent="0.3"/>
    <row r="396" spans="4:59" ht="13.9" hidden="1" customHeight="1" x14ac:dyDescent="0.3"/>
    <row r="397" spans="4:59" ht="13.9" hidden="1" customHeight="1" x14ac:dyDescent="0.3"/>
    <row r="398" spans="4:59" ht="13.9" hidden="1" customHeight="1" x14ac:dyDescent="0.3"/>
    <row r="400" spans="4:59" ht="13.9" customHeight="1" x14ac:dyDescent="0.3">
      <c r="D400" s="87"/>
      <c r="H400" s="87"/>
      <c r="M400" s="87"/>
      <c r="N400" s="87"/>
      <c r="O400" s="87"/>
      <c r="Q400" s="24"/>
      <c r="R400" s="285" t="s">
        <v>346</v>
      </c>
      <c r="S400" s="22"/>
      <c r="T400" s="233"/>
      <c r="AE400" s="22"/>
      <c r="AF400" s="22"/>
      <c r="AG400" s="22"/>
      <c r="AH400" s="22"/>
      <c r="AI400" s="22"/>
      <c r="AJ400" s="22"/>
      <c r="AN400" s="23"/>
      <c r="AO400" s="23"/>
      <c r="BF400" s="5"/>
      <c r="BG400" s="5"/>
    </row>
    <row r="401" spans="4:59" ht="13.9" customHeight="1" x14ac:dyDescent="0.3">
      <c r="D401" s="87"/>
      <c r="H401" s="87"/>
      <c r="M401" s="87"/>
      <c r="N401" s="87"/>
      <c r="O401" s="87"/>
      <c r="Q401" s="24"/>
      <c r="R401" s="244"/>
      <c r="S401" s="23"/>
      <c r="T401" s="233"/>
      <c r="Y401" s="234" t="s">
        <v>172</v>
      </c>
      <c r="Z401" s="234" t="s">
        <v>658</v>
      </c>
      <c r="AE401" s="22"/>
      <c r="AF401" s="22"/>
      <c r="AG401" s="22"/>
      <c r="AH401" s="22"/>
      <c r="AI401" s="22"/>
      <c r="AJ401" s="22"/>
      <c r="AN401" s="23"/>
      <c r="AO401" s="23"/>
      <c r="BF401" s="5"/>
      <c r="BG401" s="5"/>
    </row>
    <row r="402" spans="4:59" ht="13.9" customHeight="1" x14ac:dyDescent="0.3">
      <c r="D402" s="87"/>
      <c r="H402" s="87"/>
      <c r="M402" s="87"/>
      <c r="N402" s="87"/>
      <c r="O402" s="87"/>
      <c r="Q402" s="24"/>
      <c r="R402" s="244"/>
      <c r="S402" s="286" t="str">
        <f>B8</f>
        <v>Käsittelyssä tarvittavien työkoneiden ja muun työmaakaluston kuljetus alueelle sekä niiden kuljetus alueelta pois käsittelyn päättyessä</v>
      </c>
      <c r="T402" s="287"/>
      <c r="U402" s="288"/>
      <c r="V402" s="288"/>
      <c r="W402" s="288" t="s">
        <v>730</v>
      </c>
      <c r="X402" s="288" t="s">
        <v>674</v>
      </c>
      <c r="Y402" s="289">
        <f ca="1">SUM(Y403,Y406)</f>
        <v>0</v>
      </c>
      <c r="Z402" s="290" t="str">
        <f ca="1">IF(ISERROR(Y402/$Y$442),"--",Y402/$Y$442)</f>
        <v>--</v>
      </c>
      <c r="AE402" s="22"/>
      <c r="AF402" s="22"/>
      <c r="AG402" s="22"/>
      <c r="AH402" s="22"/>
      <c r="AI402" s="22"/>
      <c r="AJ402" s="22"/>
      <c r="AN402" s="23"/>
      <c r="AO402" s="23"/>
      <c r="BF402" s="5"/>
      <c r="BG402" s="5"/>
    </row>
    <row r="403" spans="4:59" ht="13.9" customHeight="1" x14ac:dyDescent="0.3">
      <c r="D403" s="87"/>
      <c r="H403" s="87"/>
      <c r="M403" s="87"/>
      <c r="N403" s="87"/>
      <c r="O403" s="87"/>
      <c r="Q403" s="24"/>
      <c r="R403" s="244"/>
      <c r="S403" s="212" t="s">
        <v>629</v>
      </c>
      <c r="T403" s="234"/>
      <c r="W403" s="234" t="s">
        <v>730</v>
      </c>
      <c r="X403" s="234" t="s">
        <v>348</v>
      </c>
      <c r="Y403" s="235">
        <f ca="1">SUM(Y404:Y405)</f>
        <v>0</v>
      </c>
      <c r="Z403" s="284" t="str">
        <f t="shared" ref="Z403:Z440" ca="1" si="0">IF(ISERROR(Y403/$Y$442),"--",Y403/$Y$442)</f>
        <v>--</v>
      </c>
      <c r="AE403" s="22"/>
      <c r="AF403" s="22"/>
      <c r="AG403" s="22"/>
      <c r="AH403" s="22"/>
      <c r="AI403" s="22"/>
      <c r="AJ403" s="22"/>
      <c r="AN403" s="23"/>
      <c r="AO403" s="23"/>
      <c r="BF403" s="5"/>
      <c r="BG403" s="5"/>
    </row>
    <row r="404" spans="4:59" ht="13.9" customHeight="1" x14ac:dyDescent="0.3">
      <c r="D404" s="87"/>
      <c r="H404" s="87"/>
      <c r="M404" s="87"/>
      <c r="N404" s="87"/>
      <c r="O404" s="87"/>
      <c r="Q404" s="24"/>
      <c r="R404" s="244"/>
      <c r="S404" s="252" t="s">
        <v>40</v>
      </c>
      <c r="T404" s="234"/>
      <c r="W404" s="234" t="s">
        <v>40</v>
      </c>
      <c r="Y404" s="235">
        <f>SUM(AB11,AB16,AB21)</f>
        <v>0</v>
      </c>
      <c r="Z404" s="284" t="str">
        <f t="shared" ca="1" si="0"/>
        <v>--</v>
      </c>
      <c r="AE404" s="22"/>
      <c r="AF404" s="22"/>
      <c r="AG404" s="22"/>
      <c r="AH404" s="22"/>
      <c r="AI404" s="22"/>
      <c r="AJ404" s="22"/>
      <c r="AN404" s="23"/>
      <c r="AO404" s="23"/>
      <c r="BF404" s="5"/>
      <c r="BG404" s="5"/>
    </row>
    <row r="405" spans="4:59" ht="13.9" customHeight="1" x14ac:dyDescent="0.3">
      <c r="D405" s="87"/>
      <c r="H405" s="87"/>
      <c r="M405" s="87"/>
      <c r="N405" s="87"/>
      <c r="O405" s="87"/>
      <c r="Q405" s="24"/>
      <c r="R405" s="244"/>
      <c r="S405" s="252" t="s">
        <v>637</v>
      </c>
      <c r="T405" s="234"/>
      <c r="W405" s="234" t="s">
        <v>40</v>
      </c>
      <c r="Y405" s="235">
        <f ca="1">SUM(AG21,AG16,AG11)</f>
        <v>0</v>
      </c>
      <c r="Z405" s="284" t="str">
        <f t="shared" ca="1" si="0"/>
        <v>--</v>
      </c>
      <c r="AE405" s="22"/>
      <c r="AF405" s="22"/>
      <c r="AG405" s="22"/>
      <c r="AH405" s="22"/>
      <c r="AI405" s="22"/>
      <c r="AJ405" s="22"/>
      <c r="AN405" s="23"/>
      <c r="AO405" s="23"/>
      <c r="BF405" s="5"/>
      <c r="BG405" s="5"/>
    </row>
    <row r="406" spans="4:59" ht="13.9" customHeight="1" x14ac:dyDescent="0.3">
      <c r="D406" s="87"/>
      <c r="H406" s="87"/>
      <c r="M406" s="87"/>
      <c r="N406" s="87"/>
      <c r="O406" s="87"/>
      <c r="Q406" s="24"/>
      <c r="R406" s="244"/>
      <c r="S406" s="212" t="s">
        <v>630</v>
      </c>
      <c r="T406" s="234"/>
      <c r="W406" s="234" t="s">
        <v>730</v>
      </c>
      <c r="X406" s="234" t="s">
        <v>673</v>
      </c>
      <c r="Y406" s="235">
        <f ca="1">SUM(Y407:Y408)</f>
        <v>0</v>
      </c>
      <c r="Z406" s="284" t="str">
        <f t="shared" ca="1" si="0"/>
        <v>--</v>
      </c>
      <c r="AE406" s="22"/>
      <c r="AF406" s="22"/>
      <c r="AG406" s="22"/>
      <c r="AH406" s="22"/>
      <c r="AI406" s="22"/>
      <c r="AJ406" s="22"/>
      <c r="AN406" s="23"/>
      <c r="AO406" s="23"/>
      <c r="BF406" s="5"/>
      <c r="BG406" s="5"/>
    </row>
    <row r="407" spans="4:59" ht="13.9" customHeight="1" x14ac:dyDescent="0.3">
      <c r="D407" s="87"/>
      <c r="H407" s="87"/>
      <c r="M407" s="87"/>
      <c r="N407" s="87"/>
      <c r="O407" s="87"/>
      <c r="Q407" s="24"/>
      <c r="R407" s="244"/>
      <c r="S407" s="252" t="s">
        <v>40</v>
      </c>
      <c r="T407" s="234"/>
      <c r="W407" s="234" t="s">
        <v>40</v>
      </c>
      <c r="Y407" s="235">
        <f>SUM(AB21,AB16,AB11)</f>
        <v>0</v>
      </c>
      <c r="Z407" s="284" t="str">
        <f t="shared" ca="1" si="0"/>
        <v>--</v>
      </c>
      <c r="AE407" s="22"/>
      <c r="AF407" s="22"/>
      <c r="AG407" s="22"/>
      <c r="AH407" s="22"/>
      <c r="AI407" s="22"/>
      <c r="AJ407" s="22"/>
      <c r="AN407" s="23"/>
      <c r="AO407" s="23"/>
      <c r="BF407" s="5"/>
      <c r="BG407" s="5"/>
    </row>
    <row r="408" spans="4:59" ht="13.9" customHeight="1" x14ac:dyDescent="0.3">
      <c r="D408" s="87"/>
      <c r="H408" s="87"/>
      <c r="M408" s="87"/>
      <c r="N408" s="87"/>
      <c r="O408" s="87"/>
      <c r="Q408" s="24"/>
      <c r="R408" s="244"/>
      <c r="S408" s="252" t="s">
        <v>637</v>
      </c>
      <c r="T408" s="234"/>
      <c r="W408" s="234" t="s">
        <v>40</v>
      </c>
      <c r="Y408" s="235">
        <f ca="1">SUM(AG21,AG16,AG11)</f>
        <v>0</v>
      </c>
      <c r="Z408" s="284" t="str">
        <f t="shared" ca="1" si="0"/>
        <v>--</v>
      </c>
      <c r="AE408" s="22"/>
      <c r="AF408" s="22"/>
      <c r="AG408" s="22"/>
      <c r="AH408" s="22"/>
      <c r="AI408" s="22"/>
      <c r="AJ408" s="22"/>
      <c r="AN408" s="23"/>
      <c r="AO408" s="23"/>
      <c r="BF408" s="5"/>
      <c r="BG408" s="5"/>
    </row>
    <row r="409" spans="4:59" ht="13.9" customHeight="1" x14ac:dyDescent="0.3">
      <c r="D409" s="87"/>
      <c r="H409" s="87"/>
      <c r="M409" s="87"/>
      <c r="N409" s="87"/>
      <c r="O409" s="87"/>
      <c r="Q409" s="24"/>
      <c r="R409" s="244"/>
      <c r="S409" s="286" t="str">
        <f>B28</f>
        <v>Käsittelyä varten tehtävät puuston, asfalttipintojen  tai rakenteiden poisto</v>
      </c>
      <c r="T409" s="287"/>
      <c r="U409" s="288"/>
      <c r="V409" s="288"/>
      <c r="W409" s="288" t="s">
        <v>731</v>
      </c>
      <c r="X409" s="288" t="s">
        <v>348</v>
      </c>
      <c r="Y409" s="289">
        <f>SUM(Y410,Y411,Y412)</f>
        <v>0</v>
      </c>
      <c r="Z409" s="290" t="str">
        <f t="shared" ca="1" si="0"/>
        <v>--</v>
      </c>
      <c r="AE409" s="22"/>
      <c r="AF409" s="22"/>
      <c r="AG409" s="22"/>
      <c r="AH409" s="22"/>
      <c r="AI409" s="22"/>
      <c r="AJ409" s="22"/>
      <c r="AN409" s="23"/>
      <c r="AO409" s="23"/>
      <c r="BF409" s="5"/>
      <c r="BG409" s="5"/>
    </row>
    <row r="410" spans="4:59" ht="13.9" customHeight="1" x14ac:dyDescent="0.3">
      <c r="D410" s="87"/>
      <c r="H410" s="87"/>
      <c r="M410" s="87"/>
      <c r="N410" s="87"/>
      <c r="O410" s="87"/>
      <c r="Q410" s="24"/>
      <c r="R410" s="244"/>
      <c r="S410" s="212" t="s">
        <v>634</v>
      </c>
      <c r="T410" s="234"/>
      <c r="W410" s="234" t="s">
        <v>655</v>
      </c>
      <c r="X410" s="234" t="s">
        <v>348</v>
      </c>
      <c r="Y410" s="235">
        <f>SUM(R31)</f>
        <v>0</v>
      </c>
      <c r="Z410" s="284" t="str">
        <f t="shared" ca="1" si="0"/>
        <v>--</v>
      </c>
      <c r="AE410" s="22"/>
      <c r="AF410" s="22"/>
      <c r="AG410" s="22"/>
      <c r="AH410" s="22"/>
      <c r="AI410" s="22"/>
      <c r="AJ410" s="22"/>
      <c r="AN410" s="23"/>
      <c r="AO410" s="23"/>
      <c r="BF410" s="5"/>
      <c r="BG410" s="5"/>
    </row>
    <row r="411" spans="4:59" ht="13.9" customHeight="1" x14ac:dyDescent="0.3">
      <c r="D411" s="87"/>
      <c r="H411" s="87"/>
      <c r="M411" s="87"/>
      <c r="N411" s="87"/>
      <c r="O411" s="87"/>
      <c r="Q411" s="24"/>
      <c r="R411" s="244"/>
      <c r="S411" s="212" t="s">
        <v>631</v>
      </c>
      <c r="T411" s="234"/>
      <c r="W411" s="234" t="s">
        <v>655</v>
      </c>
      <c r="X411" s="234" t="s">
        <v>635</v>
      </c>
      <c r="Y411" s="235">
        <f>SUM(R32)</f>
        <v>0</v>
      </c>
      <c r="Z411" s="284" t="str">
        <f t="shared" ca="1" si="0"/>
        <v>--</v>
      </c>
      <c r="AE411" s="22"/>
      <c r="AF411" s="22"/>
      <c r="AG411" s="22"/>
      <c r="AH411" s="22"/>
      <c r="AI411" s="22"/>
      <c r="AJ411" s="22"/>
      <c r="AN411" s="23"/>
      <c r="AO411" s="23"/>
      <c r="BF411" s="5"/>
      <c r="BG411" s="5"/>
    </row>
    <row r="412" spans="4:59" ht="13.9" customHeight="1" x14ac:dyDescent="0.3">
      <c r="D412" s="87"/>
      <c r="H412" s="87"/>
      <c r="M412" s="87"/>
      <c r="N412" s="87"/>
      <c r="O412" s="87"/>
      <c r="Q412" s="24"/>
      <c r="R412" s="244"/>
      <c r="S412" s="212" t="s">
        <v>55</v>
      </c>
      <c r="T412" s="234"/>
      <c r="W412" s="234" t="s">
        <v>655</v>
      </c>
      <c r="X412" s="234" t="s">
        <v>348</v>
      </c>
      <c r="Y412" s="235">
        <f>SUM(R34)</f>
        <v>0</v>
      </c>
      <c r="Z412" s="284" t="str">
        <f t="shared" ca="1" si="0"/>
        <v>--</v>
      </c>
      <c r="AE412" s="22"/>
      <c r="AF412" s="22"/>
      <c r="AG412" s="22"/>
      <c r="AH412" s="22"/>
      <c r="AI412" s="22"/>
      <c r="AJ412" s="22"/>
      <c r="AN412" s="23"/>
      <c r="AO412" s="23"/>
      <c r="BF412" s="5"/>
      <c r="BG412" s="5"/>
    </row>
    <row r="413" spans="4:59" ht="13.9" customHeight="1" x14ac:dyDescent="0.3">
      <c r="D413" s="87"/>
      <c r="H413" s="87"/>
      <c r="M413" s="87"/>
      <c r="N413" s="87"/>
      <c r="O413" s="87"/>
      <c r="Q413" s="24"/>
      <c r="R413" s="244"/>
      <c r="S413" s="286" t="s">
        <v>632</v>
      </c>
      <c r="T413" s="288"/>
      <c r="U413" s="288"/>
      <c r="V413" s="288"/>
      <c r="W413" s="288" t="s">
        <v>666</v>
      </c>
      <c r="X413" s="288" t="s">
        <v>633</v>
      </c>
      <c r="Y413" s="289">
        <f>SUM(R30)</f>
        <v>0</v>
      </c>
      <c r="Z413" s="290" t="str">
        <f t="shared" ca="1" si="0"/>
        <v>--</v>
      </c>
      <c r="AE413" s="22"/>
      <c r="AF413" s="22"/>
      <c r="AG413" s="22"/>
      <c r="AH413" s="22"/>
      <c r="AI413" s="22"/>
      <c r="AJ413" s="22"/>
      <c r="AN413" s="23"/>
      <c r="AO413" s="23"/>
      <c r="BF413" s="5"/>
      <c r="BG413" s="5"/>
    </row>
    <row r="414" spans="4:59" ht="13.9" customHeight="1" x14ac:dyDescent="0.3">
      <c r="D414" s="87"/>
      <c r="H414" s="87"/>
      <c r="M414" s="87"/>
      <c r="N414" s="87"/>
      <c r="O414" s="87"/>
      <c r="Q414" s="24"/>
      <c r="R414" s="244"/>
      <c r="S414" s="286" t="str">
        <f>B37</f>
        <v>Asennus- ja valmisteluvaiheessa tarvittavat työkoneet</v>
      </c>
      <c r="T414" s="287"/>
      <c r="U414" s="288"/>
      <c r="V414" s="288"/>
      <c r="W414" s="288" t="s">
        <v>655</v>
      </c>
      <c r="X414" s="288" t="s">
        <v>635</v>
      </c>
      <c r="Y414" s="289">
        <f>SUM(R40,R44,R48)</f>
        <v>0</v>
      </c>
      <c r="Z414" s="290" t="str">
        <f t="shared" ca="1" si="0"/>
        <v>--</v>
      </c>
      <c r="AE414" s="22"/>
      <c r="AF414" s="22"/>
      <c r="AG414" s="22"/>
      <c r="AH414" s="22"/>
      <c r="AI414" s="22"/>
      <c r="AJ414" s="22"/>
      <c r="AN414" s="23"/>
      <c r="AO414" s="23"/>
      <c r="BF414" s="5"/>
      <c r="BG414" s="5"/>
    </row>
    <row r="415" spans="4:59" ht="13.9" customHeight="1" x14ac:dyDescent="0.3">
      <c r="D415" s="87"/>
      <c r="H415" s="87"/>
      <c r="M415" s="87"/>
      <c r="N415" s="87"/>
      <c r="O415" s="87"/>
      <c r="Q415" s="24"/>
      <c r="R415" s="244"/>
      <c r="S415" s="286" t="str">
        <f>B52</f>
        <v>Mahdollisten käsittelyssä poistettavien maa-ainesten ja purkumateriaalien kuljetukset pois alueelta</v>
      </c>
      <c r="T415" s="287"/>
      <c r="U415" s="288"/>
      <c r="V415" s="288"/>
      <c r="W415" s="288" t="s">
        <v>730</v>
      </c>
      <c r="X415" s="288" t="s">
        <v>664</v>
      </c>
      <c r="Y415" s="289">
        <f ca="1">SUM(Y416:Y417)</f>
        <v>0</v>
      </c>
      <c r="Z415" s="290" t="str">
        <f t="shared" ca="1" si="0"/>
        <v>--</v>
      </c>
      <c r="AE415" s="22"/>
      <c r="AF415" s="22"/>
      <c r="AG415" s="22"/>
      <c r="AH415" s="22"/>
      <c r="AI415" s="22"/>
      <c r="AJ415" s="22"/>
      <c r="AN415" s="23"/>
      <c r="AO415" s="23"/>
      <c r="BF415" s="5"/>
      <c r="BG415" s="5"/>
    </row>
    <row r="416" spans="4:59" ht="13.9" customHeight="1" x14ac:dyDescent="0.3">
      <c r="D416" s="87"/>
      <c r="H416" s="87"/>
      <c r="M416" s="87"/>
      <c r="N416" s="87"/>
      <c r="O416" s="87"/>
      <c r="Q416" s="24"/>
      <c r="R416" s="244"/>
      <c r="S416" s="212" t="s">
        <v>40</v>
      </c>
      <c r="T416" s="233"/>
      <c r="W416" s="234" t="s">
        <v>40</v>
      </c>
      <c r="X416" s="234" t="s">
        <v>664</v>
      </c>
      <c r="Y416" s="235">
        <f>SUM(AB55,AB60,AB65,AB70,AB75)</f>
        <v>0</v>
      </c>
      <c r="Z416" s="284" t="str">
        <f t="shared" ca="1" si="0"/>
        <v>--</v>
      </c>
      <c r="AE416" s="22"/>
      <c r="AF416" s="22"/>
      <c r="AG416" s="22"/>
      <c r="AH416" s="22"/>
      <c r="AI416" s="22"/>
      <c r="AJ416" s="22"/>
      <c r="AN416" s="23"/>
      <c r="AO416" s="23"/>
      <c r="BF416" s="5"/>
      <c r="BG416" s="5"/>
    </row>
    <row r="417" spans="4:59" ht="13.9" customHeight="1" x14ac:dyDescent="0.3">
      <c r="D417" s="87"/>
      <c r="H417" s="87"/>
      <c r="M417" s="87"/>
      <c r="N417" s="87"/>
      <c r="O417" s="87"/>
      <c r="Q417" s="24"/>
      <c r="R417" s="244"/>
      <c r="S417" s="212" t="s">
        <v>637</v>
      </c>
      <c r="T417" s="233"/>
      <c r="W417" s="234" t="s">
        <v>40</v>
      </c>
      <c r="X417" s="234" t="s">
        <v>664</v>
      </c>
      <c r="Y417" s="235">
        <f ca="1">SUM(AG55,AG60,AG65,AG70,AG75)</f>
        <v>0</v>
      </c>
      <c r="Z417" s="284" t="str">
        <f t="shared" ca="1" si="0"/>
        <v>--</v>
      </c>
      <c r="AE417" s="22"/>
      <c r="AF417" s="22"/>
      <c r="AG417" s="22"/>
      <c r="AH417" s="22"/>
      <c r="AI417" s="22"/>
      <c r="AJ417" s="22"/>
      <c r="AN417" s="23"/>
      <c r="AO417" s="23"/>
      <c r="BF417" s="5"/>
      <c r="BG417" s="5"/>
    </row>
    <row r="418" spans="4:59" ht="13.9" customHeight="1" x14ac:dyDescent="0.3">
      <c r="D418" s="87"/>
      <c r="H418" s="87"/>
      <c r="M418" s="87"/>
      <c r="N418" s="87"/>
      <c r="O418" s="87"/>
      <c r="Q418" s="24"/>
      <c r="R418" s="244"/>
      <c r="S418" s="286" t="str">
        <f>B82</f>
        <v>Mahdollisten korvaavien maa-ainesten määrä</v>
      </c>
      <c r="T418" s="287"/>
      <c r="U418" s="288"/>
      <c r="V418" s="288"/>
      <c r="W418" s="288" t="s">
        <v>654</v>
      </c>
      <c r="X418" s="288" t="s">
        <v>664</v>
      </c>
      <c r="Y418" s="289">
        <f>SUM(R84:R88)</f>
        <v>0</v>
      </c>
      <c r="Z418" s="290" t="str">
        <f t="shared" ca="1" si="0"/>
        <v>--</v>
      </c>
      <c r="AE418" s="22"/>
      <c r="AF418" s="22"/>
      <c r="AG418" s="22"/>
      <c r="AH418" s="22"/>
      <c r="AI418" s="22"/>
      <c r="AJ418" s="22"/>
      <c r="AN418" s="23"/>
      <c r="AO418" s="23"/>
      <c r="BF418" s="5"/>
      <c r="BG418" s="5"/>
    </row>
    <row r="419" spans="4:59" ht="13.9" customHeight="1" x14ac:dyDescent="0.3">
      <c r="D419" s="87"/>
      <c r="H419" s="87"/>
      <c r="M419" s="87"/>
      <c r="N419" s="87"/>
      <c r="O419" s="87"/>
      <c r="Q419" s="24"/>
      <c r="R419" s="244"/>
      <c r="S419" s="286" t="str">
        <f>B92</f>
        <v>Mahdollisten korvaavien maa-ainesten kuljetukset alueelle</v>
      </c>
      <c r="T419" s="287"/>
      <c r="U419" s="288"/>
      <c r="V419" s="288"/>
      <c r="W419" s="288" t="s">
        <v>730</v>
      </c>
      <c r="X419" s="288" t="s">
        <v>664</v>
      </c>
      <c r="Y419" s="289">
        <f ca="1">SUM(Y420,Y421)</f>
        <v>0</v>
      </c>
      <c r="Z419" s="290" t="str">
        <f t="shared" ca="1" si="0"/>
        <v>--</v>
      </c>
      <c r="AE419" s="22"/>
      <c r="AF419" s="22"/>
      <c r="AG419" s="22"/>
      <c r="AH419" s="22"/>
      <c r="AI419" s="22"/>
      <c r="AJ419" s="22"/>
      <c r="AN419" s="23"/>
      <c r="AO419" s="23"/>
      <c r="BF419" s="5"/>
      <c r="BG419" s="5"/>
    </row>
    <row r="420" spans="4:59" ht="13.9" customHeight="1" x14ac:dyDescent="0.3">
      <c r="D420" s="87"/>
      <c r="H420" s="87"/>
      <c r="M420" s="87"/>
      <c r="N420" s="87"/>
      <c r="O420" s="87"/>
      <c r="Q420" s="24"/>
      <c r="R420" s="244"/>
      <c r="S420" s="212" t="s">
        <v>40</v>
      </c>
      <c r="T420" s="234"/>
      <c r="W420" s="234" t="s">
        <v>40</v>
      </c>
      <c r="X420" s="234" t="s">
        <v>664</v>
      </c>
      <c r="Y420" s="235">
        <f>SUM(AB95,AB100,AB105,AB110,AB115)</f>
        <v>0</v>
      </c>
      <c r="Z420" s="284" t="str">
        <f t="shared" ca="1" si="0"/>
        <v>--</v>
      </c>
      <c r="AE420" s="22"/>
      <c r="AF420" s="22"/>
      <c r="AG420" s="22"/>
      <c r="AH420" s="22"/>
      <c r="AI420" s="22"/>
      <c r="AJ420" s="22"/>
      <c r="AN420" s="23"/>
      <c r="AO420" s="23"/>
      <c r="BF420" s="5"/>
      <c r="BG420" s="5"/>
    </row>
    <row r="421" spans="4:59" ht="13.9" customHeight="1" x14ac:dyDescent="0.3">
      <c r="D421" s="87"/>
      <c r="H421" s="87"/>
      <c r="M421" s="87"/>
      <c r="N421" s="87"/>
      <c r="O421" s="87"/>
      <c r="Q421" s="24"/>
      <c r="R421" s="244"/>
      <c r="S421" s="212" t="s">
        <v>637</v>
      </c>
      <c r="T421" s="234"/>
      <c r="W421" s="234" t="s">
        <v>40</v>
      </c>
      <c r="X421" s="234" t="s">
        <v>664</v>
      </c>
      <c r="Y421" s="235">
        <f ca="1">SUM(AG95,AG100,AG105,AG110,AG115)</f>
        <v>0</v>
      </c>
      <c r="Z421" s="284" t="str">
        <f t="shared" ca="1" si="0"/>
        <v>--</v>
      </c>
      <c r="AE421" s="22"/>
      <c r="AF421" s="22"/>
      <c r="AG421" s="22"/>
      <c r="AH421" s="22"/>
      <c r="AI421" s="22"/>
      <c r="AJ421" s="22"/>
      <c r="AN421" s="23"/>
      <c r="AO421" s="23"/>
      <c r="BF421" s="5"/>
      <c r="BG421" s="5"/>
    </row>
    <row r="422" spans="4:59" ht="13.9" customHeight="1" x14ac:dyDescent="0.3">
      <c r="D422" s="87"/>
      <c r="H422" s="87"/>
      <c r="M422" s="87"/>
      <c r="N422" s="87"/>
      <c r="O422" s="87"/>
      <c r="Q422" s="24"/>
      <c r="R422" s="244"/>
      <c r="S422" s="286" t="str">
        <f>B122</f>
        <v>Mahdolliset täytöt ja muu korvaavien maa-ainesten käyttö alueella</v>
      </c>
      <c r="T422" s="287"/>
      <c r="U422" s="288"/>
      <c r="V422" s="288"/>
      <c r="W422" s="288" t="s">
        <v>655</v>
      </c>
      <c r="X422" s="288" t="s">
        <v>664</v>
      </c>
      <c r="Y422" s="289">
        <f>SUM(R124)</f>
        <v>0</v>
      </c>
      <c r="Z422" s="290" t="str">
        <f t="shared" ca="1" si="0"/>
        <v>--</v>
      </c>
      <c r="AE422" s="22"/>
      <c r="AF422" s="22"/>
      <c r="AG422" s="22"/>
      <c r="AH422" s="22"/>
      <c r="AI422" s="22"/>
      <c r="AJ422" s="22"/>
      <c r="AN422" s="23"/>
      <c r="AO422" s="23"/>
      <c r="BF422" s="5"/>
      <c r="BG422" s="5"/>
    </row>
    <row r="423" spans="4:59" ht="13.9" customHeight="1" x14ac:dyDescent="0.3">
      <c r="D423" s="87"/>
      <c r="H423" s="87"/>
      <c r="M423" s="87"/>
      <c r="N423" s="87"/>
      <c r="O423" s="87"/>
      <c r="Q423" s="24"/>
      <c r="R423" s="244"/>
      <c r="S423" s="286" t="str">
        <f>B129</f>
        <v>Käsittelyssä käytettävät kertakäyttöiset kemikaalit, tuotteet tai materiaalit</v>
      </c>
      <c r="T423" s="287"/>
      <c r="U423" s="288"/>
      <c r="V423" s="288"/>
      <c r="W423" s="288" t="s">
        <v>654</v>
      </c>
      <c r="X423" s="288" t="s">
        <v>664</v>
      </c>
      <c r="Y423" s="289">
        <f>SUM(R133,R136,R139,R142,R145)</f>
        <v>0</v>
      </c>
      <c r="Z423" s="290" t="str">
        <f t="shared" ca="1" si="0"/>
        <v>--</v>
      </c>
      <c r="AE423" s="22"/>
      <c r="AF423" s="22"/>
      <c r="AG423" s="22"/>
      <c r="AH423" s="22"/>
      <c r="AI423" s="22"/>
      <c r="AJ423" s="22"/>
      <c r="AN423" s="23"/>
      <c r="AO423" s="23"/>
      <c r="BF423" s="5"/>
      <c r="BG423" s="5"/>
    </row>
    <row r="424" spans="4:59" ht="13.9" customHeight="1" x14ac:dyDescent="0.3">
      <c r="D424" s="87"/>
      <c r="H424" s="87"/>
      <c r="M424" s="87"/>
      <c r="N424" s="87"/>
      <c r="O424" s="87"/>
      <c r="Q424" s="24"/>
      <c r="R424" s="244"/>
      <c r="S424" s="286" t="str">
        <f>B147</f>
        <v>Käsittelyssä käytettävien kemikaalien, tuotteiden ja materiaalien kuljetukset alueelle</v>
      </c>
      <c r="T424" s="287"/>
      <c r="U424" s="288"/>
      <c r="V424" s="288"/>
      <c r="W424" s="288" t="s">
        <v>40</v>
      </c>
      <c r="X424" s="288" t="s">
        <v>664</v>
      </c>
      <c r="Y424" s="289">
        <f>SUM(R153,R161,R169,R177,R185)</f>
        <v>0</v>
      </c>
      <c r="Z424" s="290" t="str">
        <f t="shared" ca="1" si="0"/>
        <v>--</v>
      </c>
      <c r="AE424" s="22"/>
      <c r="AF424" s="22"/>
      <c r="AG424" s="22"/>
      <c r="AH424" s="22"/>
      <c r="AI424" s="22"/>
      <c r="AJ424" s="22"/>
      <c r="AN424" s="23"/>
      <c r="AO424" s="23"/>
      <c r="BF424" s="5"/>
      <c r="BG424" s="5"/>
    </row>
    <row r="425" spans="4:59" ht="13.9" customHeight="1" x14ac:dyDescent="0.3">
      <c r="D425" s="87"/>
      <c r="H425" s="87"/>
      <c r="M425" s="87"/>
      <c r="N425" s="87"/>
      <c r="O425" s="87"/>
      <c r="Q425" s="24"/>
      <c r="R425" s="244"/>
      <c r="S425" s="286" t="str">
        <f>B193</f>
        <v>Maaperän lämmittäminen</v>
      </c>
      <c r="T425" s="287"/>
      <c r="U425" s="288"/>
      <c r="V425" s="288"/>
      <c r="W425" s="288" t="s">
        <v>656</v>
      </c>
      <c r="X425" s="288" t="s">
        <v>664</v>
      </c>
      <c r="Y425" s="289">
        <f>SUM(R195)</f>
        <v>0</v>
      </c>
      <c r="Z425" s="290" t="str">
        <f t="shared" ca="1" si="0"/>
        <v>--</v>
      </c>
      <c r="AE425" s="22"/>
      <c r="AF425" s="22"/>
      <c r="AG425" s="22"/>
      <c r="AH425" s="22"/>
      <c r="AI425" s="22"/>
      <c r="AJ425" s="22"/>
      <c r="AN425" s="23"/>
      <c r="AO425" s="23"/>
      <c r="BF425" s="5"/>
      <c r="BG425" s="5"/>
    </row>
    <row r="426" spans="4:59" ht="13.9" customHeight="1" x14ac:dyDescent="0.3">
      <c r="D426" s="87"/>
      <c r="H426" s="87"/>
      <c r="M426" s="87"/>
      <c r="N426" s="87"/>
      <c r="O426" s="87"/>
      <c r="Q426" s="24"/>
      <c r="R426" s="244"/>
      <c r="S426" s="286" t="str">
        <f>B203</f>
        <v>Mahdollinen poistokaasujen imu</v>
      </c>
      <c r="T426" s="287"/>
      <c r="U426" s="288"/>
      <c r="V426" s="288"/>
      <c r="W426" s="288" t="s">
        <v>656</v>
      </c>
      <c r="X426" s="288" t="s">
        <v>664</v>
      </c>
      <c r="Y426" s="289">
        <f>SUM(R205)</f>
        <v>0</v>
      </c>
      <c r="Z426" s="290" t="str">
        <f t="shared" ca="1" si="0"/>
        <v>--</v>
      </c>
      <c r="AE426" s="22"/>
      <c r="AF426" s="22"/>
      <c r="AG426" s="22"/>
      <c r="AH426" s="22"/>
      <c r="AI426" s="22"/>
      <c r="AJ426" s="22"/>
      <c r="AN426" s="23"/>
      <c r="AO426" s="23"/>
      <c r="BF426" s="5"/>
      <c r="BG426" s="5"/>
    </row>
    <row r="427" spans="4:59" ht="13.9" customHeight="1" x14ac:dyDescent="0.3">
      <c r="D427" s="87"/>
      <c r="H427" s="87"/>
      <c r="M427" s="87"/>
      <c r="N427" s="87"/>
      <c r="O427" s="87"/>
      <c r="Q427" s="24"/>
      <c r="R427" s="244"/>
      <c r="S427" s="286" t="str">
        <f>B213</f>
        <v>Poistokaasujen käsittelyn mahdollinen energiankäyttö</v>
      </c>
      <c r="T427" s="287"/>
      <c r="U427" s="288"/>
      <c r="V427" s="288"/>
      <c r="W427" s="288" t="s">
        <v>656</v>
      </c>
      <c r="X427" s="288" t="s">
        <v>664</v>
      </c>
      <c r="Y427" s="289">
        <f>SUM(R215)</f>
        <v>0</v>
      </c>
      <c r="Z427" s="290" t="str">
        <f t="shared" ca="1" si="0"/>
        <v>--</v>
      </c>
      <c r="AE427" s="22"/>
      <c r="AF427" s="22"/>
      <c r="AG427" s="22"/>
      <c r="AH427" s="22"/>
      <c r="AI427" s="22"/>
      <c r="AJ427" s="22"/>
      <c r="AN427" s="23"/>
      <c r="AO427" s="23"/>
      <c r="BF427" s="5"/>
      <c r="BG427" s="5"/>
    </row>
    <row r="428" spans="4:59" ht="13.9" customHeight="1" x14ac:dyDescent="0.3">
      <c r="D428" s="87"/>
      <c r="H428" s="87"/>
      <c r="M428" s="87"/>
      <c r="N428" s="87"/>
      <c r="O428" s="87"/>
      <c r="Q428" s="24"/>
      <c r="R428" s="244"/>
      <c r="S428" s="286" t="s">
        <v>42</v>
      </c>
      <c r="T428" s="288"/>
      <c r="U428" s="288"/>
      <c r="V428" s="288"/>
      <c r="W428" s="288" t="s">
        <v>732</v>
      </c>
      <c r="X428" s="288"/>
      <c r="Y428" s="289">
        <f>SUM(Y429:Y431)</f>
        <v>0</v>
      </c>
      <c r="Z428" s="290" t="str">
        <f t="shared" ca="1" si="0"/>
        <v>--</v>
      </c>
      <c r="AE428" s="22"/>
      <c r="AF428" s="22"/>
      <c r="AG428" s="22"/>
      <c r="AH428" s="22"/>
      <c r="AI428" s="22"/>
      <c r="AJ428" s="22"/>
      <c r="AN428" s="23"/>
      <c r="AO428" s="23"/>
      <c r="BF428" s="5"/>
      <c r="BG428" s="5"/>
    </row>
    <row r="429" spans="4:59" ht="13.9" customHeight="1" x14ac:dyDescent="0.3">
      <c r="D429" s="87"/>
      <c r="H429" s="87"/>
      <c r="M429" s="87"/>
      <c r="N429" s="87"/>
      <c r="O429" s="87"/>
      <c r="Q429" s="24"/>
      <c r="R429" s="244"/>
      <c r="S429" s="212" t="s">
        <v>60</v>
      </c>
      <c r="T429" s="234"/>
      <c r="W429" s="234" t="s">
        <v>663</v>
      </c>
      <c r="X429" s="234" t="s">
        <v>348</v>
      </c>
      <c r="Y429" s="235">
        <f>SUM(R225)</f>
        <v>0</v>
      </c>
      <c r="Z429" s="284" t="str">
        <f t="shared" ca="1" si="0"/>
        <v>--</v>
      </c>
      <c r="AE429" s="22"/>
      <c r="AF429" s="22"/>
      <c r="AG429" s="22"/>
      <c r="AH429" s="22"/>
      <c r="AI429" s="22"/>
      <c r="AJ429" s="22"/>
      <c r="AN429" s="23"/>
      <c r="AO429" s="23"/>
      <c r="BF429" s="5"/>
      <c r="BG429" s="5"/>
    </row>
    <row r="430" spans="4:59" ht="13.9" customHeight="1" x14ac:dyDescent="0.3">
      <c r="D430" s="87"/>
      <c r="H430" s="87"/>
      <c r="M430" s="87"/>
      <c r="N430" s="87"/>
      <c r="O430" s="87"/>
      <c r="Q430" s="24"/>
      <c r="R430" s="244"/>
      <c r="S430" s="212" t="s">
        <v>640</v>
      </c>
      <c r="T430" s="234"/>
      <c r="W430" s="234" t="s">
        <v>663</v>
      </c>
      <c r="X430" s="234" t="s">
        <v>664</v>
      </c>
      <c r="Y430" s="235">
        <f>SUM(R227)</f>
        <v>0</v>
      </c>
      <c r="Z430" s="284" t="str">
        <f t="shared" ca="1" si="0"/>
        <v>--</v>
      </c>
      <c r="AE430" s="22"/>
      <c r="AF430" s="22"/>
      <c r="AG430" s="22"/>
      <c r="AH430" s="22"/>
      <c r="AI430" s="22"/>
      <c r="AJ430" s="22"/>
      <c r="AN430" s="23"/>
      <c r="AO430" s="23"/>
      <c r="BF430" s="5"/>
      <c r="BG430" s="5"/>
    </row>
    <row r="431" spans="4:59" ht="13.9" customHeight="1" x14ac:dyDescent="0.3">
      <c r="D431" s="87"/>
      <c r="H431" s="87"/>
      <c r="M431" s="87"/>
      <c r="N431" s="87"/>
      <c r="O431" s="87"/>
      <c r="Q431" s="24"/>
      <c r="R431" s="244"/>
      <c r="S431" s="212" t="s">
        <v>641</v>
      </c>
      <c r="T431" s="234"/>
      <c r="W431" s="234" t="s">
        <v>663</v>
      </c>
      <c r="X431" s="234" t="s">
        <v>665</v>
      </c>
      <c r="Y431" s="235">
        <f>SUM(R314)</f>
        <v>0</v>
      </c>
      <c r="Z431" s="284" t="str">
        <f t="shared" ca="1" si="0"/>
        <v>--</v>
      </c>
      <c r="AE431" s="22"/>
      <c r="AF431" s="22"/>
      <c r="AG431" s="22"/>
      <c r="AH431" s="22"/>
      <c r="AI431" s="22"/>
      <c r="AJ431" s="22"/>
      <c r="AN431" s="23"/>
      <c r="AO431" s="23"/>
      <c r="BF431" s="5"/>
      <c r="BG431" s="5"/>
    </row>
    <row r="432" spans="4:59" ht="13.9" customHeight="1" x14ac:dyDescent="0.3">
      <c r="D432" s="87"/>
      <c r="H432" s="87"/>
      <c r="M432" s="87"/>
      <c r="N432" s="87"/>
      <c r="O432" s="87"/>
      <c r="Q432" s="24"/>
      <c r="R432" s="244"/>
      <c r="S432" s="291" t="str">
        <f>B235</f>
        <v>Rakenteiden purkaminen</v>
      </c>
      <c r="T432" s="288"/>
      <c r="U432" s="288"/>
      <c r="V432" s="288"/>
      <c r="W432" s="288" t="s">
        <v>655</v>
      </c>
      <c r="X432" s="288" t="s">
        <v>385</v>
      </c>
      <c r="Y432" s="289">
        <f>SUM(R238,R242,R246)</f>
        <v>0</v>
      </c>
      <c r="Z432" s="290" t="str">
        <f t="shared" ca="1" si="0"/>
        <v>--</v>
      </c>
      <c r="AE432" s="22"/>
      <c r="AF432" s="22"/>
      <c r="AG432" s="22"/>
      <c r="AH432" s="22"/>
      <c r="AI432" s="22"/>
      <c r="AJ432" s="22"/>
      <c r="AN432" s="23"/>
      <c r="AO432" s="23"/>
      <c r="BF432" s="5"/>
      <c r="BG432" s="5"/>
    </row>
    <row r="433" spans="4:59" ht="13.9" customHeight="1" x14ac:dyDescent="0.3">
      <c r="D433" s="87"/>
      <c r="H433" s="87"/>
      <c r="M433" s="87"/>
      <c r="N433" s="87"/>
      <c r="O433" s="87"/>
      <c r="Q433" s="24"/>
      <c r="R433" s="244"/>
      <c r="S433" s="291" t="str">
        <f>B250</f>
        <v>Poistettavien rakenteiden ja puhdistukseen päättämiseen liittyvien materiaalien kuljetukset</v>
      </c>
      <c r="T433" s="288"/>
      <c r="U433" s="288"/>
      <c r="V433" s="288"/>
      <c r="W433" s="288" t="s">
        <v>730</v>
      </c>
      <c r="X433" s="288" t="s">
        <v>385</v>
      </c>
      <c r="Y433" s="289">
        <f ca="1">SUM(Y434:Y435)</f>
        <v>0</v>
      </c>
      <c r="Z433" s="290" t="str">
        <f t="shared" ca="1" si="0"/>
        <v>--</v>
      </c>
      <c r="AE433" s="22"/>
      <c r="AF433" s="22"/>
      <c r="AG433" s="22"/>
      <c r="AH433" s="22"/>
      <c r="AI433" s="22"/>
      <c r="AJ433" s="22"/>
      <c r="AN433" s="23"/>
      <c r="AO433" s="23"/>
      <c r="BF433" s="5"/>
      <c r="BG433" s="5"/>
    </row>
    <row r="434" spans="4:59" ht="13.9" customHeight="1" x14ac:dyDescent="0.3">
      <c r="D434" s="87"/>
      <c r="H434" s="87"/>
      <c r="M434" s="87"/>
      <c r="N434" s="87"/>
      <c r="O434" s="87"/>
      <c r="Q434" s="24"/>
      <c r="R434" s="244"/>
      <c r="S434" s="252" t="s">
        <v>40</v>
      </c>
      <c r="T434" s="234"/>
      <c r="W434" s="234" t="s">
        <v>40</v>
      </c>
      <c r="X434" s="234" t="s">
        <v>385</v>
      </c>
      <c r="Y434" s="235">
        <f>SUM(AB253,AB258,AB263,AB268,AB273)</f>
        <v>0</v>
      </c>
      <c r="Z434" s="284" t="str">
        <f t="shared" ca="1" si="0"/>
        <v>--</v>
      </c>
      <c r="AE434" s="22"/>
      <c r="AF434" s="22"/>
      <c r="AG434" s="22"/>
      <c r="AH434" s="22"/>
      <c r="AI434" s="22"/>
      <c r="AJ434" s="22"/>
      <c r="AN434" s="23"/>
      <c r="AO434" s="23"/>
      <c r="BF434" s="5"/>
      <c r="BG434" s="5"/>
    </row>
    <row r="435" spans="4:59" ht="13.9" customHeight="1" x14ac:dyDescent="0.3">
      <c r="D435" s="87"/>
      <c r="H435" s="87"/>
      <c r="M435" s="87"/>
      <c r="N435" s="87"/>
      <c r="O435" s="87"/>
      <c r="Q435" s="24"/>
      <c r="R435" s="244"/>
      <c r="S435" s="252" t="s">
        <v>637</v>
      </c>
      <c r="T435" s="234"/>
      <c r="W435" s="234" t="s">
        <v>40</v>
      </c>
      <c r="X435" s="234" t="s">
        <v>385</v>
      </c>
      <c r="Y435" s="235">
        <f ca="1">SUM(AG253,AG258,AG263,AG268,AG273)</f>
        <v>0</v>
      </c>
      <c r="Z435" s="284" t="str">
        <f t="shared" ca="1" si="0"/>
        <v>--</v>
      </c>
      <c r="AE435" s="22"/>
      <c r="AF435" s="22"/>
      <c r="AG435" s="22"/>
      <c r="AH435" s="22"/>
      <c r="AI435" s="22"/>
      <c r="AJ435" s="22"/>
      <c r="AN435" s="23"/>
      <c r="AO435" s="23"/>
      <c r="BF435" s="5"/>
      <c r="BG435" s="5"/>
    </row>
    <row r="436" spans="4:59" ht="13.9" customHeight="1" x14ac:dyDescent="0.3">
      <c r="D436" s="87"/>
      <c r="H436" s="87"/>
      <c r="M436" s="87"/>
      <c r="N436" s="87"/>
      <c r="O436" s="87"/>
      <c r="Q436" s="24"/>
      <c r="R436" s="244"/>
      <c r="S436" s="212" t="str">
        <f>B280</f>
        <v>Jätteiden loppusijoitus</v>
      </c>
      <c r="T436" s="234"/>
      <c r="W436" s="234" t="s">
        <v>657</v>
      </c>
      <c r="X436" s="234" t="s">
        <v>385</v>
      </c>
      <c r="Y436" s="235"/>
      <c r="Z436" s="284" t="str">
        <f t="shared" ca="1" si="0"/>
        <v>--</v>
      </c>
      <c r="AE436" s="22"/>
      <c r="AF436" s="22"/>
      <c r="AG436" s="22"/>
      <c r="AH436" s="22"/>
      <c r="AI436" s="22"/>
      <c r="AJ436" s="22"/>
      <c r="AN436" s="23"/>
      <c r="AO436" s="23"/>
      <c r="BF436" s="5"/>
      <c r="BG436" s="5"/>
    </row>
    <row r="437" spans="4:59" ht="13.9" customHeight="1" x14ac:dyDescent="0.3">
      <c r="D437" s="87"/>
      <c r="H437" s="87"/>
      <c r="M437" s="87"/>
      <c r="N437" s="87"/>
      <c r="O437" s="87"/>
      <c r="Q437" s="24"/>
      <c r="R437" s="244"/>
      <c r="S437" s="292" t="str">
        <f>B282</f>
        <v>Poistettujen kertakäyttöisten rakenteiden ja materiaalien jatkokäsittely (pl. maa-ainekset)</v>
      </c>
      <c r="T437" s="288"/>
      <c r="U437" s="288"/>
      <c r="V437" s="288"/>
      <c r="W437" s="288" t="s">
        <v>657</v>
      </c>
      <c r="X437" s="288" t="s">
        <v>385</v>
      </c>
      <c r="Y437" s="289">
        <f>SUM(R284,R287,R290,R293,R296,R299)</f>
        <v>0</v>
      </c>
      <c r="Z437" s="290" t="str">
        <f t="shared" ca="1" si="0"/>
        <v>--</v>
      </c>
      <c r="AE437" s="22"/>
      <c r="AF437" s="22"/>
      <c r="AG437" s="22"/>
      <c r="AH437" s="22"/>
      <c r="AI437" s="22"/>
      <c r="AJ437" s="22"/>
      <c r="AN437" s="23"/>
      <c r="AO437" s="23"/>
      <c r="BF437" s="5"/>
      <c r="BG437" s="5"/>
    </row>
    <row r="438" spans="4:59" ht="13.9" customHeight="1" x14ac:dyDescent="0.3">
      <c r="D438" s="87"/>
      <c r="H438" s="87"/>
      <c r="M438" s="87"/>
      <c r="N438" s="87"/>
      <c r="O438" s="87"/>
      <c r="Q438" s="24"/>
      <c r="R438" s="244"/>
      <c r="S438" s="292" t="s">
        <v>671</v>
      </c>
      <c r="T438" s="288"/>
      <c r="U438" s="288"/>
      <c r="V438" s="288"/>
      <c r="W438" s="288" t="s">
        <v>642</v>
      </c>
      <c r="X438" s="288" t="s">
        <v>385</v>
      </c>
      <c r="Y438" s="289">
        <f>SUM(R288,R289,R291,R292,R294,R295,R297,R298,R300,R301)</f>
        <v>0</v>
      </c>
      <c r="Z438" s="290" t="str">
        <f t="shared" ca="1" si="0"/>
        <v>--</v>
      </c>
      <c r="AE438" s="22"/>
      <c r="AF438" s="22"/>
      <c r="AG438" s="22"/>
      <c r="AH438" s="22"/>
      <c r="AI438" s="22"/>
      <c r="AJ438" s="22"/>
      <c r="AN438" s="23"/>
      <c r="AO438" s="23"/>
      <c r="BF438" s="5"/>
      <c r="BG438" s="5"/>
    </row>
    <row r="439" spans="4:59" ht="13.9" customHeight="1" x14ac:dyDescent="0.3">
      <c r="D439" s="87"/>
      <c r="H439" s="87"/>
      <c r="M439" s="87"/>
      <c r="N439" s="87"/>
      <c r="O439" s="87"/>
      <c r="Q439" s="24"/>
      <c r="R439" s="244"/>
      <c r="S439" s="292" t="str">
        <f>B303</f>
        <v>Poistetun maan jatkokäsittely vastaanottopaikassa</v>
      </c>
      <c r="T439" s="288"/>
      <c r="U439" s="288"/>
      <c r="V439" s="288"/>
      <c r="W439" s="288" t="s">
        <v>657</v>
      </c>
      <c r="X439" s="288" t="s">
        <v>385</v>
      </c>
      <c r="Y439" s="289">
        <f>SUM(R305,R307)</f>
        <v>0</v>
      </c>
      <c r="Z439" s="290" t="str">
        <f t="shared" ca="1" si="0"/>
        <v>--</v>
      </c>
      <c r="AE439" s="22"/>
      <c r="AF439" s="22"/>
      <c r="AG439" s="22"/>
      <c r="AH439" s="22"/>
      <c r="AI439" s="22"/>
      <c r="AJ439" s="22"/>
      <c r="AN439" s="23"/>
      <c r="AO439" s="23"/>
      <c r="BF439" s="5"/>
      <c r="BG439" s="5"/>
    </row>
    <row r="440" spans="4:59" ht="13.9" customHeight="1" x14ac:dyDescent="0.3">
      <c r="D440" s="87"/>
      <c r="H440" s="87"/>
      <c r="M440" s="87"/>
      <c r="N440" s="87"/>
      <c r="O440" s="87"/>
      <c r="Q440" s="24"/>
      <c r="R440" s="244"/>
      <c r="S440" s="292" t="s">
        <v>672</v>
      </c>
      <c r="T440" s="288"/>
      <c r="U440" s="288"/>
      <c r="V440" s="288"/>
      <c r="W440" s="288" t="s">
        <v>642</v>
      </c>
      <c r="X440" s="288" t="s">
        <v>385</v>
      </c>
      <c r="Y440" s="289">
        <f>SUM(R308)</f>
        <v>0</v>
      </c>
      <c r="Z440" s="290" t="str">
        <f t="shared" ca="1" si="0"/>
        <v>--</v>
      </c>
      <c r="AE440" s="22"/>
      <c r="AF440" s="22"/>
      <c r="AG440" s="22"/>
      <c r="AH440" s="22"/>
      <c r="AI440" s="22"/>
      <c r="AJ440" s="22"/>
      <c r="AN440" s="23"/>
      <c r="AO440" s="23"/>
      <c r="BF440" s="5"/>
      <c r="BG440" s="5"/>
    </row>
    <row r="441" spans="4:59" ht="13.9" customHeight="1" x14ac:dyDescent="0.3">
      <c r="D441" s="87"/>
      <c r="H441" s="87"/>
      <c r="M441" s="87"/>
      <c r="N441" s="87"/>
      <c r="O441" s="87"/>
      <c r="Q441" s="24"/>
      <c r="R441" s="244"/>
      <c r="S441" s="23"/>
      <c r="T441" s="234"/>
      <c r="Y441" s="235"/>
      <c r="Z441" s="284"/>
      <c r="AE441" s="22"/>
      <c r="AF441" s="22"/>
      <c r="AG441" s="22"/>
      <c r="AH441" s="22"/>
      <c r="AI441" s="22"/>
      <c r="AJ441" s="22"/>
      <c r="AN441" s="23"/>
      <c r="AO441" s="23"/>
      <c r="BF441" s="5"/>
      <c r="BG441" s="5"/>
    </row>
    <row r="442" spans="4:59" ht="13.9" customHeight="1" x14ac:dyDescent="0.3">
      <c r="D442" s="87"/>
      <c r="H442" s="87"/>
      <c r="M442" s="87"/>
      <c r="N442" s="87"/>
      <c r="O442" s="87"/>
      <c r="Q442" s="24"/>
      <c r="R442" s="244"/>
      <c r="S442" s="23" t="s">
        <v>643</v>
      </c>
      <c r="T442" s="234"/>
      <c r="Y442" s="293">
        <f ca="1">SUM(Y437,Y439,Y432:Y433,Y422:Y428,Y418:Y419,Y414:Y415,Y409,Y402)</f>
        <v>0</v>
      </c>
      <c r="Z442" s="284">
        <f ca="1">SUM(Z437,Z439,Z432:Z433,Z422:Z428,Z418:Z419,Z414:Z415,Z409,Z402)</f>
        <v>0</v>
      </c>
      <c r="AE442" s="22"/>
      <c r="AF442" s="22"/>
      <c r="AG442" s="22"/>
      <c r="AH442" s="22"/>
      <c r="AI442" s="22"/>
      <c r="AJ442" s="22"/>
      <c r="AN442" s="23"/>
      <c r="AO442" s="23"/>
      <c r="BF442" s="5"/>
      <c r="BG442" s="5"/>
    </row>
    <row r="443" spans="4:59" ht="13.9" customHeight="1" x14ac:dyDescent="0.3">
      <c r="D443" s="87"/>
      <c r="H443" s="87"/>
      <c r="M443" s="87"/>
      <c r="N443" s="87"/>
      <c r="O443" s="87"/>
      <c r="Q443" s="24"/>
      <c r="R443" s="244"/>
      <c r="S443" s="103"/>
      <c r="T443" s="234"/>
      <c r="Y443" s="235"/>
      <c r="AE443" s="22"/>
      <c r="AF443" s="22"/>
      <c r="AG443" s="22"/>
      <c r="AH443" s="22"/>
      <c r="AI443" s="22"/>
      <c r="AJ443" s="22"/>
      <c r="AN443" s="23"/>
      <c r="AO443" s="23"/>
      <c r="BF443" s="5"/>
      <c r="BG443" s="5"/>
    </row>
    <row r="444" spans="4:59" ht="13.9" customHeight="1" x14ac:dyDescent="0.3">
      <c r="D444" s="87"/>
      <c r="H444" s="87"/>
      <c r="M444" s="87"/>
      <c r="N444" s="87"/>
      <c r="O444" s="87"/>
      <c r="Q444" s="24"/>
      <c r="R444" s="244"/>
      <c r="S444" s="103" t="s">
        <v>659</v>
      </c>
      <c r="T444" s="234"/>
      <c r="X444" s="235"/>
      <c r="Y444" s="235">
        <f>SUM(Y413)</f>
        <v>0</v>
      </c>
      <c r="AE444" s="22"/>
      <c r="AF444" s="22"/>
      <c r="AG444" s="22"/>
      <c r="AH444" s="22"/>
      <c r="AI444" s="22"/>
      <c r="AJ444" s="22"/>
      <c r="AN444" s="23"/>
      <c r="AO444" s="23"/>
      <c r="BF444" s="5"/>
      <c r="BG444" s="5"/>
    </row>
    <row r="445" spans="4:59" ht="13.9" customHeight="1" x14ac:dyDescent="0.3">
      <c r="D445" s="87"/>
      <c r="H445" s="87"/>
      <c r="M445" s="87"/>
      <c r="N445" s="87"/>
      <c r="O445" s="87"/>
      <c r="Q445" s="24"/>
      <c r="R445" s="244"/>
      <c r="S445" s="103" t="s">
        <v>660</v>
      </c>
      <c r="T445" s="234"/>
      <c r="Y445" s="234" t="s">
        <v>661</v>
      </c>
      <c r="AE445" s="22"/>
      <c r="AF445" s="22"/>
      <c r="AG445" s="22"/>
      <c r="AH445" s="22"/>
      <c r="AI445" s="22"/>
      <c r="AJ445" s="22"/>
      <c r="AN445" s="23"/>
      <c r="AO445" s="23"/>
      <c r="BF445" s="5"/>
      <c r="BG445" s="5"/>
    </row>
    <row r="446" spans="4:59" ht="13.9" customHeight="1" x14ac:dyDescent="0.3">
      <c r="D446" s="87"/>
      <c r="H446" s="87"/>
      <c r="M446" s="87"/>
      <c r="N446" s="87"/>
      <c r="O446" s="87"/>
      <c r="Q446" s="24"/>
      <c r="R446" s="244"/>
      <c r="S446" s="22"/>
      <c r="T446" s="234"/>
      <c r="AE446" s="22"/>
      <c r="AF446" s="22"/>
      <c r="AG446" s="22"/>
      <c r="AH446" s="22"/>
      <c r="AI446" s="22"/>
      <c r="AJ446" s="22"/>
      <c r="AN446" s="23"/>
      <c r="AO446" s="23"/>
      <c r="BF446" s="5"/>
      <c r="BG446" s="5"/>
    </row>
    <row r="447" spans="4:59" ht="13.9" customHeight="1" x14ac:dyDescent="0.3">
      <c r="D447" s="87"/>
      <c r="H447" s="87"/>
      <c r="M447" s="87"/>
      <c r="N447" s="87"/>
      <c r="O447" s="87"/>
      <c r="Q447" s="24"/>
      <c r="R447" s="244"/>
      <c r="S447" s="103" t="s">
        <v>386</v>
      </c>
      <c r="T447" s="234"/>
      <c r="Y447" s="235">
        <f>SUM(Y440,Y438)</f>
        <v>0</v>
      </c>
      <c r="AE447" s="22"/>
      <c r="AF447" s="22"/>
      <c r="AG447" s="22"/>
      <c r="AH447" s="22"/>
      <c r="AI447" s="22"/>
      <c r="AJ447" s="22"/>
      <c r="AN447" s="23"/>
      <c r="AO447" s="23"/>
      <c r="BF447" s="5"/>
      <c r="BG447" s="5"/>
    </row>
    <row r="448" spans="4:59" ht="13.9" hidden="1" customHeight="1" x14ac:dyDescent="0.3">
      <c r="D448" s="87"/>
      <c r="H448" s="87"/>
      <c r="M448" s="87"/>
      <c r="N448" s="87"/>
      <c r="O448" s="87"/>
      <c r="Q448" s="24"/>
      <c r="R448" s="244"/>
      <c r="S448" s="22"/>
      <c r="T448" s="234"/>
      <c r="AE448" s="22"/>
      <c r="AF448" s="22"/>
      <c r="AG448" s="22"/>
      <c r="AH448" s="22"/>
      <c r="AI448" s="22"/>
      <c r="AJ448" s="22"/>
      <c r="AN448" s="23"/>
      <c r="AO448" s="23"/>
      <c r="BF448" s="5"/>
      <c r="BG448" s="5"/>
    </row>
    <row r="449" spans="4:59" ht="13.9" hidden="1" customHeight="1" x14ac:dyDescent="0.3">
      <c r="D449" s="87"/>
      <c r="H449" s="87"/>
      <c r="M449" s="87"/>
      <c r="N449" s="87"/>
      <c r="O449" s="87"/>
      <c r="Q449" s="24"/>
      <c r="R449" s="244"/>
      <c r="S449" s="22"/>
      <c r="T449" s="234"/>
      <c r="AE449" s="22"/>
      <c r="AF449" s="22"/>
      <c r="AG449" s="22"/>
      <c r="AH449" s="22"/>
      <c r="AI449" s="22"/>
      <c r="AJ449" s="22"/>
      <c r="AN449" s="23"/>
      <c r="AO449" s="23"/>
      <c r="BF449" s="5"/>
      <c r="BG449" s="5"/>
    </row>
    <row r="450" spans="4:59" ht="13.9" hidden="1" customHeight="1" x14ac:dyDescent="0.3">
      <c r="D450" s="87"/>
      <c r="H450" s="87"/>
      <c r="M450" s="87"/>
      <c r="N450" s="87"/>
      <c r="O450" s="87"/>
      <c r="Q450" s="24"/>
      <c r="R450" s="244"/>
      <c r="S450" s="22"/>
      <c r="T450" s="234"/>
      <c r="AE450" s="22"/>
      <c r="AF450" s="22"/>
      <c r="AG450" s="22"/>
      <c r="AH450" s="22"/>
      <c r="AI450" s="22"/>
      <c r="AJ450" s="22"/>
      <c r="AN450" s="23"/>
      <c r="AO450" s="23"/>
      <c r="BF450" s="5"/>
      <c r="BG450" s="5"/>
    </row>
    <row r="451" spans="4:59" ht="13.9" hidden="1" customHeight="1" x14ac:dyDescent="0.3">
      <c r="D451" s="87"/>
      <c r="H451" s="87"/>
      <c r="M451" s="87"/>
      <c r="N451" s="87"/>
      <c r="O451" s="87"/>
      <c r="Q451" s="24"/>
      <c r="R451" s="244"/>
      <c r="S451" s="22"/>
      <c r="T451" s="234"/>
      <c r="AE451" s="22"/>
      <c r="AF451" s="22"/>
      <c r="AG451" s="22"/>
      <c r="AH451" s="22"/>
      <c r="AI451" s="22"/>
      <c r="AJ451" s="22"/>
      <c r="AN451" s="23"/>
      <c r="AO451" s="23"/>
      <c r="BF451" s="5"/>
      <c r="BG451" s="5"/>
    </row>
    <row r="452" spans="4:59" ht="13.9" hidden="1" customHeight="1" x14ac:dyDescent="0.3">
      <c r="D452" s="87"/>
      <c r="H452" s="87"/>
      <c r="M452" s="87"/>
      <c r="N452" s="87"/>
      <c r="O452" s="87"/>
      <c r="Q452" s="24"/>
      <c r="R452" s="244"/>
      <c r="S452" s="22"/>
      <c r="T452" s="234"/>
      <c r="AE452" s="22"/>
      <c r="AF452" s="22"/>
      <c r="AG452" s="22"/>
      <c r="AH452" s="22"/>
      <c r="AI452" s="22"/>
      <c r="AJ452" s="22"/>
      <c r="AN452" s="23"/>
      <c r="AO452" s="23"/>
      <c r="BF452" s="5"/>
      <c r="BG452" s="5"/>
    </row>
    <row r="453" spans="4:59" ht="13.9" hidden="1" customHeight="1" x14ac:dyDescent="0.3">
      <c r="D453" s="87"/>
      <c r="H453" s="87"/>
      <c r="M453" s="87"/>
      <c r="N453" s="87"/>
      <c r="O453" s="87"/>
      <c r="Q453" s="24"/>
      <c r="R453" s="244"/>
      <c r="S453" s="22"/>
      <c r="T453" s="234"/>
      <c r="AE453" s="22"/>
      <c r="AF453" s="22"/>
      <c r="AG453" s="22"/>
      <c r="AH453" s="22"/>
      <c r="AI453" s="22"/>
      <c r="AJ453" s="22"/>
      <c r="AN453" s="23"/>
      <c r="AO453" s="23"/>
      <c r="BF453" s="5"/>
      <c r="BG453" s="5"/>
    </row>
    <row r="454" spans="4:59" ht="13.9" hidden="1" customHeight="1" x14ac:dyDescent="0.3">
      <c r="D454" s="87"/>
      <c r="H454" s="87"/>
      <c r="M454" s="87"/>
      <c r="N454" s="87"/>
      <c r="O454" s="87"/>
      <c r="Q454" s="24"/>
      <c r="R454" s="244"/>
      <c r="S454" s="22"/>
      <c r="T454" s="234"/>
      <c r="AE454" s="22"/>
      <c r="AF454" s="22"/>
      <c r="AG454" s="22"/>
      <c r="AH454" s="22"/>
      <c r="AI454" s="22"/>
      <c r="AJ454" s="22"/>
      <c r="AN454" s="23"/>
      <c r="AO454" s="23"/>
      <c r="BF454" s="5"/>
      <c r="BG454" s="5"/>
    </row>
    <row r="455" spans="4:59" ht="13.9" hidden="1" customHeight="1" x14ac:dyDescent="0.3">
      <c r="D455" s="87"/>
      <c r="H455" s="87"/>
      <c r="M455" s="87"/>
      <c r="N455" s="87"/>
      <c r="O455" s="87"/>
      <c r="Q455" s="24"/>
      <c r="R455" s="244"/>
      <c r="S455" s="22"/>
      <c r="T455" s="234"/>
      <c r="AE455" s="22"/>
      <c r="AF455" s="22"/>
      <c r="AG455" s="22"/>
      <c r="AH455" s="22"/>
      <c r="AI455" s="22"/>
      <c r="AJ455" s="22"/>
      <c r="AN455" s="23"/>
      <c r="AO455" s="23"/>
      <c r="BF455" s="5"/>
      <c r="BG455" s="5"/>
    </row>
    <row r="456" spans="4:59" ht="13.9" hidden="1" customHeight="1" x14ac:dyDescent="0.3">
      <c r="D456" s="87"/>
      <c r="H456" s="87"/>
      <c r="M456" s="87"/>
      <c r="N456" s="87"/>
      <c r="O456" s="87"/>
      <c r="Q456" s="24"/>
      <c r="R456" s="244"/>
      <c r="S456" s="22"/>
      <c r="T456" s="234"/>
      <c r="AE456" s="22"/>
      <c r="AF456" s="22"/>
      <c r="AG456" s="22"/>
      <c r="AH456" s="22"/>
      <c r="AI456" s="22"/>
      <c r="AJ456" s="22"/>
      <c r="AN456" s="23"/>
      <c r="AO456" s="23"/>
      <c r="BF456" s="5"/>
      <c r="BG456" s="5"/>
    </row>
    <row r="457" spans="4:59" ht="13.9" hidden="1" customHeight="1" x14ac:dyDescent="0.3">
      <c r="D457" s="87"/>
      <c r="H457" s="87"/>
      <c r="M457" s="87"/>
      <c r="N457" s="87"/>
      <c r="O457" s="87"/>
      <c r="Q457" s="24"/>
      <c r="R457" s="244"/>
      <c r="S457" s="22"/>
      <c r="T457" s="234"/>
      <c r="AE457" s="22"/>
      <c r="AF457" s="22"/>
      <c r="AG457" s="22"/>
      <c r="AH457" s="22"/>
      <c r="AI457" s="22"/>
      <c r="AJ457" s="22"/>
      <c r="AN457" s="23"/>
      <c r="AO457" s="23"/>
      <c r="BF457" s="5"/>
      <c r="BG457" s="5"/>
    </row>
    <row r="458" spans="4:59" ht="13.9" hidden="1" customHeight="1" x14ac:dyDescent="0.3">
      <c r="D458" s="87"/>
      <c r="H458" s="87"/>
      <c r="M458" s="87"/>
      <c r="N458" s="87"/>
      <c r="O458" s="87"/>
      <c r="Q458" s="24"/>
      <c r="R458" s="244"/>
      <c r="S458" s="22"/>
      <c r="T458" s="234"/>
      <c r="AE458" s="22"/>
      <c r="AF458" s="22"/>
      <c r="AG458" s="22"/>
      <c r="AH458" s="22"/>
      <c r="AI458" s="22"/>
      <c r="AJ458" s="22"/>
      <c r="AN458" s="23"/>
      <c r="AO458" s="23"/>
      <c r="BF458" s="5"/>
      <c r="BG458" s="5"/>
    </row>
    <row r="459" spans="4:59" ht="13.9" hidden="1" customHeight="1" x14ac:dyDescent="0.3">
      <c r="D459" s="87"/>
      <c r="H459" s="87"/>
      <c r="M459" s="87"/>
      <c r="N459" s="87"/>
      <c r="O459" s="87"/>
      <c r="Q459" s="24"/>
      <c r="R459" s="244"/>
      <c r="S459" s="22"/>
      <c r="T459" s="234"/>
      <c r="AE459" s="22"/>
      <c r="AF459" s="22"/>
      <c r="AG459" s="22"/>
      <c r="AH459" s="22"/>
      <c r="AI459" s="22"/>
      <c r="AJ459" s="22"/>
      <c r="AN459" s="23"/>
      <c r="AO459" s="23"/>
      <c r="BF459" s="5"/>
      <c r="BG459" s="5"/>
    </row>
    <row r="460" spans="4:59" ht="13.9" hidden="1" customHeight="1" x14ac:dyDescent="0.3">
      <c r="D460" s="87"/>
      <c r="H460" s="87"/>
      <c r="M460" s="87"/>
      <c r="N460" s="87"/>
      <c r="O460" s="87"/>
      <c r="Q460" s="24"/>
      <c r="R460" s="244"/>
      <c r="S460" s="22"/>
      <c r="T460" s="234"/>
      <c r="AE460" s="22"/>
      <c r="AF460" s="22"/>
      <c r="AG460" s="22"/>
      <c r="AH460" s="22"/>
      <c r="AI460" s="22"/>
      <c r="AJ460" s="22"/>
      <c r="AN460" s="23"/>
      <c r="AO460" s="23"/>
      <c r="BF460" s="5"/>
      <c r="BG460" s="5"/>
    </row>
    <row r="461" spans="4:59" ht="13.9" hidden="1" customHeight="1" x14ac:dyDescent="0.3">
      <c r="D461" s="87"/>
      <c r="H461" s="87"/>
      <c r="M461" s="87"/>
      <c r="N461" s="87"/>
      <c r="O461" s="87"/>
      <c r="Q461" s="24"/>
      <c r="R461" s="244"/>
      <c r="S461" s="22"/>
      <c r="T461" s="234"/>
      <c r="AE461" s="22"/>
      <c r="AF461" s="22"/>
      <c r="AG461" s="22"/>
      <c r="AH461" s="22"/>
      <c r="AI461" s="22"/>
      <c r="AJ461" s="22"/>
      <c r="AN461" s="23"/>
      <c r="AO461" s="23"/>
      <c r="BF461" s="5"/>
      <c r="BG461" s="5"/>
    </row>
    <row r="462" spans="4:59" ht="13.9" hidden="1" customHeight="1" x14ac:dyDescent="0.3">
      <c r="D462" s="87"/>
      <c r="H462" s="87"/>
      <c r="M462" s="87"/>
      <c r="N462" s="87"/>
      <c r="O462" s="87"/>
      <c r="Q462" s="24"/>
      <c r="R462" s="244"/>
      <c r="S462" s="22"/>
      <c r="T462" s="234"/>
      <c r="AE462" s="22"/>
      <c r="AF462" s="22"/>
      <c r="AG462" s="22"/>
      <c r="AH462" s="22"/>
      <c r="AI462" s="22"/>
      <c r="AJ462" s="22"/>
      <c r="AN462" s="23"/>
      <c r="AO462" s="23"/>
      <c r="BF462" s="5"/>
      <c r="BG462" s="5"/>
    </row>
    <row r="463" spans="4:59" ht="13.9" hidden="1" customHeight="1" x14ac:dyDescent="0.3">
      <c r="D463" s="87"/>
      <c r="H463" s="87"/>
      <c r="M463" s="87"/>
      <c r="N463" s="87"/>
      <c r="O463" s="87"/>
      <c r="Q463" s="24"/>
      <c r="R463" s="244"/>
      <c r="S463" s="22"/>
      <c r="T463" s="234"/>
      <c r="AE463" s="22"/>
      <c r="AF463" s="22"/>
      <c r="AG463" s="22"/>
      <c r="AH463" s="22"/>
      <c r="AI463" s="22"/>
      <c r="AJ463" s="22"/>
      <c r="AN463" s="23"/>
      <c r="AO463" s="23"/>
      <c r="BF463" s="5"/>
      <c r="BG463" s="5"/>
    </row>
    <row r="464" spans="4:59" ht="13.9" customHeight="1" x14ac:dyDescent="0.3">
      <c r="D464" s="87"/>
      <c r="H464" s="87"/>
      <c r="M464" s="87"/>
      <c r="N464" s="87"/>
      <c r="O464" s="87"/>
      <c r="Q464" s="24"/>
      <c r="R464" s="244"/>
      <c r="S464" s="22"/>
      <c r="T464" s="234"/>
      <c r="AE464" s="22"/>
      <c r="AF464" s="22"/>
      <c r="AG464" s="22"/>
      <c r="AH464" s="22"/>
      <c r="AI464" s="22"/>
      <c r="AJ464" s="22"/>
      <c r="AN464" s="23"/>
      <c r="AO464" s="23"/>
      <c r="BF464" s="5"/>
      <c r="BG464" s="5"/>
    </row>
    <row r="465" spans="4:59" ht="13.9" customHeight="1" x14ac:dyDescent="0.3">
      <c r="D465" s="87"/>
      <c r="H465" s="87"/>
      <c r="M465" s="87"/>
      <c r="N465" s="87"/>
      <c r="O465" s="87"/>
      <c r="Q465" s="24"/>
      <c r="R465" s="244"/>
      <c r="S465" s="103" t="s">
        <v>654</v>
      </c>
      <c r="T465" s="234"/>
      <c r="U465" s="235">
        <f>SUMIFS($Y$402:$Y$440,$W$402:$W$440,S465)</f>
        <v>0</v>
      </c>
      <c r="V465" s="284" t="str">
        <f ca="1">IF(ISERROR(U465/U471),"--",U465/#REF!)</f>
        <v>--</v>
      </c>
      <c r="AE465" s="22"/>
      <c r="AF465" s="22"/>
      <c r="AG465" s="22"/>
      <c r="AH465" s="22"/>
      <c r="AI465" s="22"/>
      <c r="AJ465" s="22"/>
      <c r="AN465" s="23"/>
      <c r="AO465" s="23"/>
      <c r="BF465" s="5"/>
      <c r="BG465" s="5"/>
    </row>
    <row r="466" spans="4:59" ht="13.9" customHeight="1" x14ac:dyDescent="0.3">
      <c r="D466" s="87"/>
      <c r="H466" s="87"/>
      <c r="M466" s="87"/>
      <c r="N466" s="87"/>
      <c r="O466" s="87"/>
      <c r="Q466" s="24"/>
      <c r="R466" s="244"/>
      <c r="S466" s="103" t="s">
        <v>40</v>
      </c>
      <c r="T466" s="234"/>
      <c r="U466" s="235">
        <f t="shared" ref="U466:U470" ca="1" si="1">SUMIFS($Y$402:$Y$440,$W$402:$W$440,S466)</f>
        <v>0</v>
      </c>
      <c r="V466" s="284" t="str">
        <f ca="1">IF(ISERROR(U466/U472),"--",U466/#REF!)</f>
        <v>--</v>
      </c>
      <c r="AE466" s="22"/>
      <c r="AF466" s="22"/>
      <c r="AG466" s="22"/>
      <c r="AH466" s="22"/>
      <c r="AI466" s="22"/>
      <c r="AJ466" s="22"/>
      <c r="AN466" s="23"/>
      <c r="AO466" s="23"/>
      <c r="BF466" s="5"/>
      <c r="BG466" s="5"/>
    </row>
    <row r="467" spans="4:59" ht="13.9" customHeight="1" x14ac:dyDescent="0.3">
      <c r="D467" s="87"/>
      <c r="H467" s="87"/>
      <c r="M467" s="87"/>
      <c r="N467" s="87"/>
      <c r="O467" s="87"/>
      <c r="Q467" s="24"/>
      <c r="R467" s="244"/>
      <c r="S467" s="103" t="s">
        <v>655</v>
      </c>
      <c r="T467" s="234"/>
      <c r="U467" s="235">
        <f t="shared" si="1"/>
        <v>0</v>
      </c>
      <c r="V467" s="284" t="str">
        <f>IF(ISERROR(U467/U473),"--",U467/#REF!)</f>
        <v>--</v>
      </c>
      <c r="AE467" s="22"/>
      <c r="AF467" s="22"/>
      <c r="AG467" s="22"/>
      <c r="AH467" s="22"/>
      <c r="AI467" s="22"/>
      <c r="AJ467" s="22"/>
      <c r="AN467" s="23"/>
      <c r="AO467" s="23"/>
      <c r="BF467" s="5"/>
      <c r="BG467" s="5"/>
    </row>
    <row r="468" spans="4:59" ht="13.9" customHeight="1" x14ac:dyDescent="0.3">
      <c r="D468" s="87"/>
      <c r="H468" s="87"/>
      <c r="M468" s="87"/>
      <c r="N468" s="87"/>
      <c r="O468" s="87"/>
      <c r="Q468" s="24"/>
      <c r="R468" s="244"/>
      <c r="S468" s="103" t="s">
        <v>656</v>
      </c>
      <c r="T468" s="234"/>
      <c r="U468" s="235">
        <f t="shared" si="1"/>
        <v>0</v>
      </c>
      <c r="V468" s="284" t="str">
        <f>IF(ISERROR(U468/U474),"--",U468/#REF!)</f>
        <v>--</v>
      </c>
      <c r="AE468" s="22"/>
      <c r="AF468" s="22"/>
      <c r="AG468" s="22"/>
      <c r="AH468" s="22"/>
      <c r="AI468" s="22"/>
      <c r="AJ468" s="22"/>
      <c r="AN468" s="23"/>
      <c r="AO468" s="23"/>
      <c r="BF468" s="5"/>
      <c r="BG468" s="5"/>
    </row>
    <row r="469" spans="4:59" ht="13.9" customHeight="1" x14ac:dyDescent="0.3">
      <c r="D469" s="87"/>
      <c r="H469" s="87"/>
      <c r="M469" s="87"/>
      <c r="N469" s="87"/>
      <c r="O469" s="87"/>
      <c r="Q469" s="24"/>
      <c r="R469" s="244"/>
      <c r="S469" s="103" t="s">
        <v>657</v>
      </c>
      <c r="T469" s="234"/>
      <c r="U469" s="235">
        <f t="shared" si="1"/>
        <v>0</v>
      </c>
      <c r="V469" s="284" t="str">
        <f>IF(ISERROR(U469/U475),"--",U469/#REF!)</f>
        <v>--</v>
      </c>
      <c r="AE469" s="22"/>
      <c r="AF469" s="22"/>
      <c r="AG469" s="22"/>
      <c r="AH469" s="22"/>
      <c r="AI469" s="22"/>
      <c r="AJ469" s="22"/>
      <c r="AN469" s="23"/>
      <c r="AO469" s="23"/>
      <c r="BF469" s="5"/>
      <c r="BG469" s="5"/>
    </row>
    <row r="470" spans="4:59" ht="13.9" customHeight="1" x14ac:dyDescent="0.3">
      <c r="D470" s="87"/>
      <c r="H470" s="87"/>
      <c r="M470" s="87"/>
      <c r="N470" s="87"/>
      <c r="O470" s="87"/>
      <c r="Q470" s="24"/>
      <c r="R470" s="244"/>
      <c r="S470" s="103" t="s">
        <v>663</v>
      </c>
      <c r="T470" s="234"/>
      <c r="U470" s="235">
        <f t="shared" si="1"/>
        <v>0</v>
      </c>
      <c r="V470" s="284" t="str">
        <f>IF(ISERROR(U470/U476),"--",U470/#REF!)</f>
        <v>--</v>
      </c>
      <c r="AE470" s="22"/>
      <c r="AF470" s="22"/>
      <c r="AG470" s="22"/>
      <c r="AH470" s="22"/>
      <c r="AI470" s="22"/>
      <c r="AJ470" s="22"/>
      <c r="AN470" s="23"/>
      <c r="AO470" s="23"/>
      <c r="BF470" s="5"/>
      <c r="BG470" s="5"/>
    </row>
    <row r="471" spans="4:59" ht="13.9" customHeight="1" x14ac:dyDescent="0.3">
      <c r="D471" s="87"/>
      <c r="H471" s="87"/>
      <c r="M471" s="87"/>
      <c r="N471" s="87"/>
      <c r="O471" s="87"/>
      <c r="Q471" s="24"/>
      <c r="R471" s="244"/>
      <c r="S471" s="103" t="s">
        <v>667</v>
      </c>
      <c r="T471" s="234"/>
      <c r="U471" s="235">
        <f ca="1">SUM(U465:U470)</f>
        <v>0</v>
      </c>
      <c r="V471" s="284" t="str">
        <f ca="1">IF(ISERROR(U471/U477),"--",U471/#REF!)</f>
        <v>--</v>
      </c>
      <c r="AE471" s="22"/>
      <c r="AF471" s="22"/>
      <c r="AG471" s="22"/>
      <c r="AH471" s="22"/>
      <c r="AI471" s="22"/>
      <c r="AJ471" s="22"/>
      <c r="AN471" s="23"/>
      <c r="AO471" s="23"/>
      <c r="BF471" s="5"/>
      <c r="BG471" s="5"/>
    </row>
  </sheetData>
  <mergeCells count="65">
    <mergeCell ref="C167:D167"/>
    <mergeCell ref="C274:G274"/>
    <mergeCell ref="C316:D316"/>
    <mergeCell ref="C125:G125"/>
    <mergeCell ref="C242:G242"/>
    <mergeCell ref="C246:G246"/>
    <mergeCell ref="C259:G259"/>
    <mergeCell ref="C264:G264"/>
    <mergeCell ref="C269:G269"/>
    <mergeCell ref="C187:G187"/>
    <mergeCell ref="C189:D189"/>
    <mergeCell ref="C190:D190"/>
    <mergeCell ref="C191:D191"/>
    <mergeCell ref="C229:D229"/>
    <mergeCell ref="C173:D173"/>
    <mergeCell ref="C174:D174"/>
    <mergeCell ref="C166:D166"/>
    <mergeCell ref="C61:G61"/>
    <mergeCell ref="C66:G66"/>
    <mergeCell ref="C71:G71"/>
    <mergeCell ref="C76:G76"/>
    <mergeCell ref="C80:D80"/>
    <mergeCell ref="C101:G101"/>
    <mergeCell ref="C106:G106"/>
    <mergeCell ref="C111:G111"/>
    <mergeCell ref="C116:G116"/>
    <mergeCell ref="C120:D120"/>
    <mergeCell ref="B149:H149"/>
    <mergeCell ref="B150:H150"/>
    <mergeCell ref="C159:D159"/>
    <mergeCell ref="C162:D162"/>
    <mergeCell ref="C163:G163"/>
    <mergeCell ref="C154:D154"/>
    <mergeCell ref="C157:D157"/>
    <mergeCell ref="C158:D158"/>
    <mergeCell ref="C155:G155"/>
    <mergeCell ref="C165:D165"/>
    <mergeCell ref="C132:D132"/>
    <mergeCell ref="C135:D135"/>
    <mergeCell ref="C138:D138"/>
    <mergeCell ref="C141:D141"/>
    <mergeCell ref="C144:D144"/>
    <mergeCell ref="C238:G238"/>
    <mergeCell ref="C254:G254"/>
    <mergeCell ref="C170:D170"/>
    <mergeCell ref="C195:D195"/>
    <mergeCell ref="C205:D205"/>
    <mergeCell ref="C215:D215"/>
    <mergeCell ref="C175:D175"/>
    <mergeCell ref="C171:G171"/>
    <mergeCell ref="C186:D186"/>
    <mergeCell ref="C178:D178"/>
    <mergeCell ref="C182:D182"/>
    <mergeCell ref="C181:D181"/>
    <mergeCell ref="C183:D183"/>
    <mergeCell ref="C179:G179"/>
    <mergeCell ref="C96:G96"/>
    <mergeCell ref="C11:G11"/>
    <mergeCell ref="C16:G16"/>
    <mergeCell ref="C21:G21"/>
    <mergeCell ref="C26:D26"/>
    <mergeCell ref="C56:G56"/>
    <mergeCell ref="C44:G44"/>
    <mergeCell ref="C40:G40"/>
    <mergeCell ref="C48:G48"/>
  </mergeCells>
  <conditionalFormatting sqref="G55">
    <cfRule type="expression" dxfId="82" priority="33">
      <formula>(D55="t")</formula>
    </cfRule>
  </conditionalFormatting>
  <conditionalFormatting sqref="G60">
    <cfRule type="expression" dxfId="81" priority="32">
      <formula>(D60="t")</formula>
    </cfRule>
  </conditionalFormatting>
  <conditionalFormatting sqref="G65">
    <cfRule type="expression" dxfId="80" priority="31">
      <formula>(D65="t")</formula>
    </cfRule>
  </conditionalFormatting>
  <conditionalFormatting sqref="G70">
    <cfRule type="expression" dxfId="79" priority="30">
      <formula>(D70="t")</formula>
    </cfRule>
  </conditionalFormatting>
  <conditionalFormatting sqref="G75">
    <cfRule type="expression" dxfId="78" priority="29">
      <formula>(D75="t")</formula>
    </cfRule>
  </conditionalFormatting>
  <conditionalFormatting sqref="G253">
    <cfRule type="expression" dxfId="77" priority="15">
      <formula>(D253="t")</formula>
    </cfRule>
  </conditionalFormatting>
  <conditionalFormatting sqref="G258">
    <cfRule type="expression" dxfId="76" priority="13">
      <formula>(D258="t")</formula>
    </cfRule>
  </conditionalFormatting>
  <conditionalFormatting sqref="G263">
    <cfRule type="expression" dxfId="75" priority="12">
      <formula>(D263="t")</formula>
    </cfRule>
  </conditionalFormatting>
  <conditionalFormatting sqref="G268">
    <cfRule type="expression" dxfId="74" priority="11">
      <formula>(D268="t")</formula>
    </cfRule>
  </conditionalFormatting>
  <conditionalFormatting sqref="G273">
    <cfRule type="expression" dxfId="73" priority="14">
      <formula>(D273="t")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&amp;L&amp;"-,Lihavoitu"&amp;12PIIP-laskentatyökalu&amp;RTermiset menetelmät
Sivu &amp;P/&amp;N</oddHeader>
    <oddFooter>&amp;L&amp;G&amp;R&amp;G</oddFooter>
  </headerFooter>
  <ignoredErrors>
    <ignoredError sqref="K290 R290 K293 R293 K296 R296 K299 R299"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34" id="{99EE3EA0-A2A5-4926-ABD1-C08DC2BED2AA}">
            <xm:f>$C$48=Pudotusvalikot!$D$68</xm:f>
            <x14:dxf>
              <fill>
                <patternFill>
                  <bgColor theme="2" tint="0.59996337778862885"/>
                </patternFill>
              </fill>
            </x14:dxf>
          </x14:cfRule>
          <xm:sqref>L40:L41 L44:L45 L48:L49</xm:sqref>
        </x14:conditionalFormatting>
        <x14:conditionalFormatting xmlns:xm="http://schemas.microsoft.com/office/excel/2006/main">
          <x14:cfRule type="expression" priority="1" id="{1B3C0E41-1EDC-446B-81AE-7E206E62894C}">
            <xm:f>$C$40=Pudotusvalikot!$D$68</xm:f>
            <x14:dxf>
              <fill>
                <patternFill>
                  <bgColor theme="2" tint="0.59996337778862885"/>
                </patternFill>
              </fill>
            </x14:dxf>
          </x14:cfRule>
          <xm:sqref>L124</xm:sqref>
        </x14:conditionalFormatting>
        <x14:conditionalFormatting xmlns:xm="http://schemas.microsoft.com/office/excel/2006/main">
          <x14:cfRule type="expression" priority="28" id="{0CFDC9EB-2726-449F-8C00-7ACE1B3C84A1}">
            <xm:f>#REF!=Pudotusvalikot!$D$68</xm:f>
            <x14:dxf>
              <fill>
                <patternFill>
                  <bgColor theme="2" tint="0.59996337778862885"/>
                </patternFill>
              </fill>
            </x14:dxf>
          </x14:cfRule>
          <xm:sqref>L195</xm:sqref>
        </x14:conditionalFormatting>
        <x14:conditionalFormatting xmlns:xm="http://schemas.microsoft.com/office/excel/2006/main">
          <x14:cfRule type="expression" priority="26" id="{DADC7FC4-F061-4633-B6EF-697CB11F5472}">
            <xm:f>#REF!=Pudotusvalikot!$D$68</xm:f>
            <x14:dxf>
              <fill>
                <patternFill>
                  <bgColor theme="2" tint="0.59996337778862885"/>
                </patternFill>
              </fill>
            </x14:dxf>
          </x14:cfRule>
          <xm:sqref>L196</xm:sqref>
        </x14:conditionalFormatting>
        <x14:conditionalFormatting xmlns:xm="http://schemas.microsoft.com/office/excel/2006/main">
          <x14:cfRule type="expression" priority="35" id="{94C2D39B-478F-4BB6-8A16-388CB787D59A}">
            <xm:f>#REF!=Pudotusvalikot!$D$68</xm:f>
            <x14:dxf>
              <fill>
                <patternFill>
                  <bgColor theme="2" tint="0.59996337778862885"/>
                </patternFill>
              </fill>
            </x14:dxf>
          </x14:cfRule>
          <xm:sqref>L201</xm:sqref>
        </x14:conditionalFormatting>
        <x14:conditionalFormatting xmlns:xm="http://schemas.microsoft.com/office/excel/2006/main">
          <x14:cfRule type="expression" priority="24" id="{E5F553A8-D9C9-499C-A350-BE5C0B7976A0}">
            <xm:f>#REF!=Pudotusvalikot!$D$68</xm:f>
            <x14:dxf>
              <fill>
                <patternFill>
                  <bgColor theme="2" tint="0.59996337778862885"/>
                </patternFill>
              </fill>
            </x14:dxf>
          </x14:cfRule>
          <xm:sqref>L205:L206</xm:sqref>
        </x14:conditionalFormatting>
        <x14:conditionalFormatting xmlns:xm="http://schemas.microsoft.com/office/excel/2006/main">
          <x14:cfRule type="expression" priority="25" id="{5E61A9E4-2EB5-40F7-9628-6C7C2D92D7EA}">
            <xm:f>#REF!=Pudotusvalikot!$D$68</xm:f>
            <x14:dxf>
              <fill>
                <patternFill>
                  <bgColor theme="2" tint="0.59996337778862885"/>
                </patternFill>
              </fill>
            </x14:dxf>
          </x14:cfRule>
          <xm:sqref>L211</xm:sqref>
        </x14:conditionalFormatting>
        <x14:conditionalFormatting xmlns:xm="http://schemas.microsoft.com/office/excel/2006/main">
          <x14:cfRule type="expression" priority="22" id="{774CB860-7CB7-4D98-B9E6-3E314E4BBE23}">
            <xm:f>#REF!=Pudotusvalikot!$D$68</xm:f>
            <x14:dxf>
              <fill>
                <patternFill>
                  <bgColor theme="2" tint="0.59996337778862885"/>
                </patternFill>
              </fill>
            </x14:dxf>
          </x14:cfRule>
          <xm:sqref>L215:L216</xm:sqref>
        </x14:conditionalFormatting>
        <x14:conditionalFormatting xmlns:xm="http://schemas.microsoft.com/office/excel/2006/main">
          <x14:cfRule type="expression" priority="23" id="{46F0E7BF-FF7B-48C6-BA78-3BD3C437BCBC}">
            <xm:f>#REF!=Pudotusvalikot!$D$68</xm:f>
            <x14:dxf>
              <fill>
                <patternFill>
                  <bgColor theme="2" tint="0.59996337778862885"/>
                </patternFill>
              </fill>
            </x14:dxf>
          </x14:cfRule>
          <xm:sqref>L221</xm:sqref>
        </x14:conditionalFormatting>
        <x14:conditionalFormatting xmlns:xm="http://schemas.microsoft.com/office/excel/2006/main">
          <x14:cfRule type="expression" priority="21" id="{22C84017-8B62-4F28-93A9-FE76595687AF}">
            <xm:f>$C$47=Pudotusvalikot!$D$68</xm:f>
            <x14:dxf>
              <fill>
                <patternFill>
                  <bgColor theme="2" tint="0.59996337778862885"/>
                </patternFill>
              </fill>
            </x14:dxf>
          </x14:cfRule>
          <xm:sqref>L222</xm:sqref>
        </x14:conditionalFormatting>
        <x14:conditionalFormatting xmlns:xm="http://schemas.microsoft.com/office/excel/2006/main">
          <x14:cfRule type="expression" priority="18" id="{75F5A92C-634E-44B9-8A5E-56E2B2097289}">
            <xm:f>$C$55=Pudotusvalikot!$D$68</xm:f>
            <x14:dxf>
              <fill>
                <patternFill>
                  <bgColor theme="2" tint="0.59996337778862885"/>
                </patternFill>
              </fill>
            </x14:dxf>
          </x14:cfRule>
          <xm:sqref>L225 L229 L307:L308 L316</xm:sqref>
        </x14:conditionalFormatting>
        <x14:conditionalFormatting xmlns:xm="http://schemas.microsoft.com/office/excel/2006/main">
          <x14:cfRule type="expression" priority="19" id="{BCD21672-53B3-48F8-AA05-24947D770061}">
            <xm:f>$C$55=Pudotusvalikot!$D$68</xm:f>
            <x14:dxf>
              <fill>
                <patternFill>
                  <bgColor theme="2" tint="0.59996337778862885"/>
                </patternFill>
              </fill>
            </x14:dxf>
          </x14:cfRule>
          <xm:sqref>L227</xm:sqref>
        </x14:conditionalFormatting>
        <x14:conditionalFormatting xmlns:xm="http://schemas.microsoft.com/office/excel/2006/main">
          <x14:cfRule type="expression" priority="17" id="{ECAE08D6-D0B3-4B4C-A3B0-68E2EC73419B}">
            <xm:f>$C$48=Pudotusvalikot!$D$68</xm:f>
            <x14:dxf>
              <fill>
                <patternFill>
                  <bgColor theme="2" tint="0.59996337778862885"/>
                </patternFill>
              </fill>
            </x14:dxf>
          </x14:cfRule>
          <xm:sqref>L230</xm:sqref>
        </x14:conditionalFormatting>
        <x14:conditionalFormatting xmlns:xm="http://schemas.microsoft.com/office/excel/2006/main">
          <x14:cfRule type="expression" priority="16" id="{6C95DBCB-202E-4ACD-8600-8A5145E07968}">
            <xm:f>#REF!=Pudotusvalikot!$D$68</xm:f>
            <x14:dxf>
              <fill>
                <patternFill>
                  <bgColor theme="2" tint="0.59996337778862885"/>
                </patternFill>
              </fill>
            </x14:dxf>
          </x14:cfRule>
          <xm:sqref>L238 L242 L246</xm:sqref>
        </x14:conditionalFormatting>
        <x14:conditionalFormatting xmlns:xm="http://schemas.microsoft.com/office/excel/2006/main">
          <x14:cfRule type="expression" priority="9" id="{15917285-00BC-4392-BF99-9186D0AE1531}">
            <xm:f>$C$55=Pudotusvalikot!$D$68</xm:f>
            <x14:dxf>
              <fill>
                <patternFill>
                  <bgColor theme="2" tint="0.59996337778862885"/>
                </patternFill>
              </fill>
            </x14:dxf>
          </x14:cfRule>
          <xm:sqref>L284</xm:sqref>
        </x14:conditionalFormatting>
        <x14:conditionalFormatting xmlns:xm="http://schemas.microsoft.com/office/excel/2006/main">
          <x14:cfRule type="expression" priority="3" id="{A5532658-0D0D-4B86-8B4A-99C3BE5BCBF4}">
            <xm:f>$C$55=Pudotusvalikot!$D$68</xm:f>
            <x14:dxf>
              <fill>
                <patternFill>
                  <bgColor theme="2" tint="0.59996337778862885"/>
                </patternFill>
              </fill>
            </x14:dxf>
          </x14:cfRule>
          <xm:sqref>L287:L301</xm:sqref>
        </x14:conditionalFormatting>
        <x14:conditionalFormatting xmlns:xm="http://schemas.microsoft.com/office/excel/2006/main">
          <x14:cfRule type="expression" priority="8" id="{2094BA6A-7E0D-4369-9235-BB8084C635E5}">
            <xm:f>$C$55=Pudotusvalikot!$D$68</xm:f>
            <x14:dxf>
              <fill>
                <patternFill>
                  <bgColor theme="2" tint="0.59996337778862885"/>
                </patternFill>
              </fill>
            </x14:dxf>
          </x14:cfRule>
          <xm:sqref>L305</xm:sqref>
        </x14:conditionalFormatting>
        <x14:conditionalFormatting xmlns:xm="http://schemas.microsoft.com/office/excel/2006/main">
          <x14:cfRule type="expression" priority="2" id="{D4683104-5621-4AA3-8A4D-690C885C8018}">
            <xm:f>$C$55=Pudotusvalikot!$D$68</xm:f>
            <x14:dxf>
              <fill>
                <patternFill>
                  <bgColor theme="2" tint="0.59996337778862885"/>
                </patternFill>
              </fill>
            </x14:dxf>
          </x14:cfRule>
          <xm:sqref>L314</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8DA5DEA4-E488-4AB8-832B-370D6EAE0070}">
          <x14:formula1>
            <xm:f>Pudotusvalikot!$T$3:$T$7</xm:f>
          </x14:formula1>
          <xm:sqref>D197 D207 D217</xm:sqref>
        </x14:dataValidation>
        <x14:dataValidation type="list" allowBlank="1" showInputMessage="1" showErrorMessage="1" xr:uid="{052345FD-9434-4583-A3CA-6725EF01B895}">
          <x14:formula1>
            <xm:f>Pudotusvalikot!$R$3:$R$6</xm:f>
          </x14:formula1>
          <xm:sqref>C195 C205 C215</xm:sqref>
        </x14:dataValidation>
        <x14:dataValidation type="list" allowBlank="1" showInputMessage="1" showErrorMessage="1" xr:uid="{61DB09C1-FE51-452B-9C18-C29BCB2B8491}">
          <x14:formula1>
            <xm:f>Pudotusvalikot!$D$14:$D$65</xm:f>
          </x14:formula1>
          <xm:sqref>C116 C254 C259 C264 C269 C274 C101 C106 C111 C187 C11 C21 C16 C155 C179 C171 C61 C66 C71 C76 C56 C163 C96</xm:sqref>
        </x14:dataValidation>
        <x14:dataValidation type="list" errorStyle="warning" allowBlank="1" showInputMessage="1" showErrorMessage="1" xr:uid="{0A4673F9-EABB-47DB-AC44-7B7A51509288}">
          <x14:formula1>
            <xm:f>Pudotusvalikot!$B$3:$B$5</xm:f>
          </x14:formula1>
          <xm:sqref>C26 C80 C120 C277:C279</xm:sqref>
        </x14:dataValidation>
        <x14:dataValidation type="list" allowBlank="1" showInputMessage="1" showErrorMessage="1" xr:uid="{120C47B6-C0A9-4DE5-81F3-55796BDB04DD}">
          <x14:formula1>
            <xm:f>Pudotusvalikot!$D$67:$D$92</xm:f>
          </x14:formula1>
          <xm:sqref>C242 C246 C238</xm:sqref>
        </x14:dataValidation>
        <x14:dataValidation type="list" allowBlank="1" showInputMessage="1" showErrorMessage="1" xr:uid="{89E459E4-279F-452B-B7AD-CC0EA1672773}">
          <x14:formula1>
            <xm:f>Pudotusvalikot!$D$67:$D$106</xm:f>
          </x14:formula1>
          <xm:sqref>C40 C125 C48 C44</xm:sqref>
        </x14:dataValidation>
        <x14:dataValidation type="list" allowBlank="1" showInputMessage="1" showErrorMessage="1" xr:uid="{2A47DC67-4D52-4AB4-ADC4-C614DD8CC8A6}">
          <x14:formula1>
            <xm:f>Pudotusvalikot!$N$3:$N$7</xm:f>
          </x14:formula1>
          <xm:sqref>C157:C159 C165:C167 C181:C183 C173:C175 C189:C191</xm:sqref>
        </x14:dataValidation>
        <x14:dataValidation type="list" allowBlank="1" showInputMessage="1" showErrorMessage="1" xr:uid="{B6A16946-904B-4A34-8002-B6B5A2883DD3}">
          <x14:formula1>
            <xm:f>Pudotusvalikot!$H$14:$H$28</xm:f>
          </x14:formula1>
          <xm:sqref>C132:D132 C144:D144 C141:D141 C138:D138 C135:D135</xm:sqref>
        </x14:dataValidation>
        <x14:dataValidation type="list" allowBlank="1" showInputMessage="1" showErrorMessage="1" xr:uid="{3F2EA8E8-FBE3-4F22-A011-328C2FD83535}">
          <x14:formula1>
            <xm:f>Pudotusvalikot!$F$3:$F$7</xm:f>
          </x14:formula1>
          <xm:sqref>D55 D84:F88 D60 D70 D75 F60 F55 F65 D65 D273 D258 D263 D253 D268</xm:sqref>
        </x14:dataValidation>
        <x14:dataValidation type="list" allowBlank="1" showInputMessage="1" showErrorMessage="1" xr:uid="{24581DC7-A80F-41DF-82D4-7AB81A2EC1C7}">
          <x14:formula1>
            <xm:f>Pudotusvalikot!$V$3:$V$9</xm:f>
          </x14:formula1>
          <xm:sqref>C12 C17 C22 C31 C33 C35 C41 C45 C49 C57 C62 C67 C72 C77 C97 C102 C107 C112 C117 C156 C164 C172 C180 C188 C239 C243 C247 C255 C260 C265 C270 C275 C306 C285 C126</xm:sqref>
        </x14:dataValidation>
        <x14:dataValidation type="list" allowBlank="1" showInputMessage="1" showErrorMessage="1" xr:uid="{41C44DBE-C002-40FA-A1BA-31221DD6B236}">
          <x14:formula1>
            <xm:f>Pudotusvalikot!$X$3:$X$7</xm:f>
          </x14:formula1>
          <xm:sqref>D199 D209 D219</xm:sqref>
        </x14:dataValidation>
        <x14:dataValidation type="list" allowBlank="1" showInputMessage="1" showErrorMessage="1" xr:uid="{97A10226-71E0-4BC1-BCD5-7F5F617F1170}">
          <x14:formula1>
            <xm:f>Pudotusvalikot!$J$3:$J$11</xm:f>
          </x14:formula1>
          <xm:sqref>C229 C316</xm:sqref>
        </x14:dataValidation>
        <x14:dataValidation type="list" allowBlank="1" showInputMessage="1" showErrorMessage="1" xr:uid="{9D4C7B02-1E14-4806-A889-3439AAF9F3F5}">
          <x14:formula1>
            <xm:f>Pudotusvalikot!$H$3:$H$8</xm:f>
          </x14:formula1>
          <xm:sqref>D127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37E0-ED38-48DF-8D47-9284E7BD7497}">
  <sheetPr codeName="Sheet7">
    <tabColor theme="5" tint="0.79998168889431442"/>
  </sheetPr>
  <dimension ref="B1:BG471"/>
  <sheetViews>
    <sheetView zoomScaleNormal="100" zoomScaleSheetLayoutView="100" workbookViewId="0">
      <pane xSplit="2" ySplit="2" topLeftCell="C3" activePane="bottomRight" state="frozen"/>
      <selection pane="topRight" activeCell="C1" sqref="C1"/>
      <selection pane="bottomLeft" activeCell="A3" sqref="A3"/>
      <selection pane="bottomRight" activeCell="B5" sqref="B5"/>
    </sheetView>
  </sheetViews>
  <sheetFormatPr defaultColWidth="9" defaultRowHeight="13.9" customHeight="1" x14ac:dyDescent="0.3"/>
  <cols>
    <col min="1" max="1" width="2.75" style="5" customWidth="1"/>
    <col min="2" max="2" width="92.33203125" style="5" customWidth="1"/>
    <col min="3" max="3" width="20.75" style="13" customWidth="1"/>
    <col min="4" max="4" width="12.75" style="87" bestFit="1" customWidth="1"/>
    <col min="5" max="5" width="2.25" style="5" customWidth="1"/>
    <col min="6" max="6" width="3.75" style="5" customWidth="1"/>
    <col min="7" max="7" width="20.75" style="13" customWidth="1"/>
    <col min="8" max="8" width="8.75" style="5" customWidth="1"/>
    <col min="9" max="9" width="12.33203125" style="5" customWidth="1"/>
    <col min="10" max="10" width="60.75" style="15" customWidth="1"/>
    <col min="11" max="12" width="15.75" style="13" customWidth="1"/>
    <col min="13" max="13" width="11" style="13" bestFit="1" customWidth="1"/>
    <col min="14" max="14" width="2.58203125" style="13" customWidth="1"/>
    <col min="15" max="15" width="80.58203125" style="13" customWidth="1"/>
    <col min="16" max="16" width="2.75" style="5" customWidth="1"/>
    <col min="17" max="17" width="2.75" style="142" customWidth="1"/>
    <col min="18" max="18" width="15.75" style="143" customWidth="1"/>
    <col min="19" max="19" width="15.75" style="144" customWidth="1"/>
    <col min="20" max="20" width="26.83203125" style="23" bestFit="1" customWidth="1"/>
    <col min="21" max="37" width="25.75" style="22" customWidth="1"/>
    <col min="38" max="39" width="15.75" style="22" customWidth="1"/>
    <col min="40" max="41" width="9" style="22"/>
    <col min="42" max="59" width="9" style="23"/>
    <col min="60" max="16384" width="9" style="5"/>
  </cols>
  <sheetData>
    <row r="1" spans="2:59" s="31" customFormat="1" ht="15.5" x14ac:dyDescent="0.3">
      <c r="C1" s="34"/>
      <c r="D1" s="84"/>
      <c r="G1" s="34"/>
      <c r="J1" s="33"/>
      <c r="K1" s="34"/>
      <c r="L1" s="34"/>
      <c r="M1" s="34"/>
      <c r="N1" s="34"/>
      <c r="O1" s="34"/>
      <c r="Q1" s="133"/>
      <c r="R1" s="98"/>
      <c r="S1" s="108"/>
      <c r="T1" s="37"/>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3">
      <c r="B2" s="8" t="s">
        <v>57</v>
      </c>
      <c r="C2" s="375"/>
      <c r="D2" s="376"/>
      <c r="E2" s="377"/>
      <c r="F2" s="378" t="s">
        <v>643</v>
      </c>
      <c r="G2" s="379" t="str">
        <f>IF(ISNUMBER(C4),U471,"")</f>
        <v/>
      </c>
      <c r="H2" s="380" t="s">
        <v>172</v>
      </c>
      <c r="J2" s="26"/>
      <c r="K2" s="27"/>
      <c r="L2" s="27"/>
      <c r="M2" s="27"/>
      <c r="N2" s="27"/>
      <c r="O2" s="27"/>
      <c r="Q2" s="139"/>
      <c r="R2" s="140"/>
      <c r="S2" s="141"/>
      <c r="T2" s="30"/>
      <c r="U2" s="29"/>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5" x14ac:dyDescent="0.3">
      <c r="C3" s="34"/>
      <c r="D3" s="84"/>
      <c r="G3" s="34"/>
      <c r="J3" s="33"/>
      <c r="K3" s="34"/>
      <c r="L3" s="34"/>
      <c r="M3" s="34"/>
      <c r="N3" s="34"/>
      <c r="O3" s="34"/>
      <c r="Q3" s="133"/>
      <c r="R3" s="98"/>
      <c r="S3" s="108"/>
      <c r="T3" s="37"/>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5" customHeight="1" x14ac:dyDescent="0.3">
      <c r="B4" s="81" t="s">
        <v>750</v>
      </c>
      <c r="C4" s="154"/>
      <c r="D4" s="84" t="str">
        <f>IF(ISBLANK(C4),"%","")</f>
        <v>%</v>
      </c>
      <c r="G4" s="175" t="str">
        <f>IF(ISNUMBER(C4),C4*'Kohdetiedot ja yhteenveto'!D12,"")</f>
        <v/>
      </c>
      <c r="H4" s="31" t="s">
        <v>175</v>
      </c>
      <c r="J4" s="33"/>
      <c r="K4" s="34"/>
      <c r="L4" s="34"/>
      <c r="M4" s="34"/>
      <c r="N4" s="34"/>
      <c r="O4" s="34"/>
      <c r="Q4" s="133"/>
      <c r="R4" s="98"/>
      <c r="S4" s="108"/>
      <c r="T4" s="37"/>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15.5" x14ac:dyDescent="0.3">
      <c r="C5" s="34"/>
      <c r="D5" s="84"/>
      <c r="G5" s="34"/>
      <c r="H5" s="84"/>
      <c r="J5" s="33"/>
      <c r="P5" s="69"/>
      <c r="Q5" s="108"/>
      <c r="R5" s="98"/>
      <c r="S5" s="108"/>
      <c r="T5" s="37"/>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196" customFormat="1" ht="23" x14ac:dyDescent="0.3">
      <c r="B6" s="197" t="s">
        <v>607</v>
      </c>
      <c r="C6" s="198"/>
      <c r="D6" s="199"/>
      <c r="G6" s="198"/>
      <c r="H6" s="199"/>
      <c r="J6" s="200"/>
      <c r="P6" s="201"/>
      <c r="Q6" s="202"/>
      <c r="R6" s="203"/>
      <c r="S6" s="202"/>
      <c r="T6" s="204"/>
      <c r="U6" s="205"/>
      <c r="V6" s="205"/>
      <c r="W6" s="205"/>
      <c r="X6" s="205"/>
      <c r="Y6" s="205"/>
      <c r="Z6" s="205"/>
      <c r="AA6" s="205"/>
      <c r="AB6" s="205"/>
      <c r="AC6" s="205"/>
      <c r="AD6" s="205"/>
      <c r="AE6" s="205"/>
      <c r="AF6" s="205"/>
      <c r="AG6" s="205"/>
      <c r="AH6" s="205"/>
      <c r="AI6" s="205"/>
      <c r="AJ6" s="20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5" x14ac:dyDescent="0.3">
      <c r="C7" s="34"/>
      <c r="D7" s="84"/>
      <c r="G7" s="34"/>
      <c r="J7" s="33"/>
      <c r="K7" s="34"/>
      <c r="L7" s="34"/>
      <c r="M7" s="34"/>
      <c r="N7" s="34"/>
      <c r="O7" s="34"/>
      <c r="Q7" s="133"/>
      <c r="R7" s="98"/>
      <c r="S7" s="108"/>
      <c r="T7" s="37"/>
      <c r="U7" s="36"/>
      <c r="V7" s="36"/>
      <c r="W7" s="36"/>
      <c r="X7" s="36"/>
      <c r="Y7" s="36"/>
      <c r="Z7" s="36"/>
      <c r="AA7" s="36"/>
      <c r="AB7" s="36"/>
      <c r="AC7" s="36"/>
      <c r="AD7" s="36"/>
      <c r="AE7" s="36"/>
      <c r="AF7" s="36"/>
      <c r="AG7" s="36"/>
      <c r="AH7" s="36"/>
      <c r="AI7" s="36"/>
      <c r="AJ7" s="36"/>
      <c r="AK7" s="36"/>
      <c r="AL7" s="36"/>
      <c r="AM7" s="36"/>
      <c r="AN7" s="36"/>
      <c r="AO7" s="36"/>
      <c r="AP7" s="37"/>
      <c r="AQ7" s="37"/>
      <c r="AR7" s="37"/>
      <c r="AS7" s="37"/>
      <c r="AT7" s="37"/>
      <c r="AU7" s="37"/>
      <c r="AV7" s="37"/>
      <c r="AW7" s="37"/>
      <c r="AX7" s="37"/>
      <c r="AY7" s="37"/>
      <c r="AZ7" s="37"/>
      <c r="BA7" s="37"/>
      <c r="BB7" s="37"/>
      <c r="BC7" s="37"/>
      <c r="BD7" s="37"/>
      <c r="BE7" s="37"/>
      <c r="BF7" s="37"/>
      <c r="BG7" s="37"/>
    </row>
    <row r="8" spans="2:59" s="298" customFormat="1" ht="18" x14ac:dyDescent="0.3">
      <c r="B8" s="295" t="s">
        <v>483</v>
      </c>
      <c r="C8" s="296"/>
      <c r="D8" s="297"/>
      <c r="G8" s="296"/>
      <c r="H8" s="297"/>
      <c r="K8" s="296"/>
      <c r="L8" s="296"/>
      <c r="M8" s="297"/>
      <c r="N8" s="297"/>
      <c r="O8" s="300"/>
      <c r="P8" s="320"/>
      <c r="Q8" s="304"/>
      <c r="S8" s="303"/>
      <c r="T8" s="303"/>
      <c r="U8" s="303"/>
      <c r="V8" s="303"/>
      <c r="W8" s="303"/>
      <c r="X8" s="303"/>
      <c r="Y8" s="303"/>
      <c r="Z8" s="303"/>
      <c r="AA8" s="303"/>
      <c r="AB8" s="303"/>
      <c r="AC8" s="303"/>
      <c r="AD8" s="303"/>
      <c r="AE8" s="303"/>
      <c r="AF8" s="303"/>
      <c r="AG8" s="303"/>
      <c r="AH8" s="303"/>
      <c r="AI8" s="303"/>
      <c r="AJ8" s="303"/>
      <c r="AK8" s="303"/>
      <c r="AL8" s="303"/>
      <c r="AM8" s="303"/>
      <c r="AN8" s="304"/>
      <c r="AO8" s="304"/>
      <c r="AP8" s="304"/>
      <c r="AQ8" s="304"/>
      <c r="AR8" s="304"/>
      <c r="AS8" s="304"/>
      <c r="AT8" s="304"/>
      <c r="AU8" s="304"/>
      <c r="AV8" s="304"/>
      <c r="AW8" s="304"/>
      <c r="AX8" s="304"/>
      <c r="AY8" s="304"/>
      <c r="AZ8" s="304"/>
      <c r="BA8" s="304"/>
      <c r="BB8" s="304"/>
      <c r="BC8" s="304"/>
      <c r="BD8" s="304"/>
      <c r="BE8" s="304"/>
    </row>
    <row r="9" spans="2:59" s="31" customFormat="1" ht="15.5" x14ac:dyDescent="0.3">
      <c r="B9" s="9"/>
      <c r="C9" s="34"/>
      <c r="D9" s="84"/>
      <c r="G9" s="34"/>
      <c r="H9" s="84"/>
      <c r="K9" s="38"/>
      <c r="L9" s="38"/>
      <c r="M9" s="84"/>
      <c r="N9" s="84"/>
      <c r="O9" s="255" t="s">
        <v>644</v>
      </c>
      <c r="Q9" s="35"/>
      <c r="R9" s="36" t="s">
        <v>350</v>
      </c>
      <c r="S9" s="36"/>
      <c r="T9" s="36"/>
      <c r="U9" s="36"/>
      <c r="V9" s="36"/>
      <c r="W9" s="36"/>
      <c r="X9" s="36"/>
      <c r="Y9" s="36"/>
      <c r="Z9" s="36"/>
      <c r="AA9" s="36"/>
      <c r="AB9" s="36"/>
      <c r="AC9" s="36"/>
      <c r="AD9" s="36"/>
      <c r="AE9" s="36"/>
      <c r="AF9" s="36"/>
      <c r="AG9" s="36"/>
      <c r="AH9" s="36"/>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5" x14ac:dyDescent="0.3">
      <c r="B10" s="172" t="s">
        <v>438</v>
      </c>
      <c r="C10" s="34"/>
      <c r="D10" s="84"/>
      <c r="G10" s="34"/>
      <c r="H10" s="84"/>
      <c r="K10" s="38" t="s">
        <v>329</v>
      </c>
      <c r="L10" s="38" t="s">
        <v>201</v>
      </c>
      <c r="M10" s="84"/>
      <c r="N10" s="84"/>
      <c r="O10" s="256"/>
      <c r="Q10" s="35"/>
      <c r="R10" s="36" t="s">
        <v>172</v>
      </c>
      <c r="S10" s="36"/>
      <c r="T10" s="36" t="s">
        <v>446</v>
      </c>
      <c r="U10" s="36" t="s">
        <v>445</v>
      </c>
      <c r="V10" s="36" t="s">
        <v>443</v>
      </c>
      <c r="W10" s="36" t="s">
        <v>444</v>
      </c>
      <c r="X10" s="36" t="s">
        <v>447</v>
      </c>
      <c r="Y10" s="36" t="s">
        <v>449</v>
      </c>
      <c r="Z10" s="36" t="s">
        <v>448</v>
      </c>
      <c r="AA10" s="36" t="s">
        <v>202</v>
      </c>
      <c r="AB10" s="36" t="s">
        <v>380</v>
      </c>
      <c r="AC10" s="36" t="s">
        <v>450</v>
      </c>
      <c r="AD10" s="36" t="s">
        <v>381</v>
      </c>
      <c r="AE10" s="36" t="s">
        <v>451</v>
      </c>
      <c r="AF10" s="36" t="s">
        <v>452</v>
      </c>
      <c r="AG10" s="36" t="s">
        <v>638</v>
      </c>
      <c r="AH10" s="36" t="s">
        <v>206</v>
      </c>
      <c r="AI10" s="36" t="s">
        <v>278</v>
      </c>
      <c r="AJ10" s="36" t="s">
        <v>207</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46.5" x14ac:dyDescent="0.3">
      <c r="B11" s="170" t="s">
        <v>504</v>
      </c>
      <c r="C11" s="392" t="s">
        <v>93</v>
      </c>
      <c r="D11" s="393"/>
      <c r="E11" s="393"/>
      <c r="F11" s="393"/>
      <c r="G11" s="394"/>
      <c r="H11" s="169"/>
      <c r="J11" s="173" t="s">
        <v>441</v>
      </c>
      <c r="K11" s="96">
        <f>IF(ISNUMBER(L11),L11,IF(OR(C11=Pudotusvalikot!$D$14,C11=Pudotusvalikot!$D$15),Kalusto!$G$96,VLOOKUP(C11,Kalusto!$C$44:$G$83,5,FALSE))*IF(OR(C12=Pudotusvalikot!$V$3,C12=Pudotusvalikot!$V$4),Muut!$E$38,IF(C12=Pudotusvalikot!$V$5,Muut!$E$39,IF(C12=Pudotusvalikot!$V$6,Muut!$E$40,Muut!$E$41))))</f>
        <v>5.7709999999999997E-2</v>
      </c>
      <c r="L11" s="40"/>
      <c r="M11" s="41" t="s">
        <v>200</v>
      </c>
      <c r="N11" s="41"/>
      <c r="O11" s="265"/>
      <c r="Q11" s="47"/>
      <c r="R11" s="50" t="str">
        <f ca="1">IF(AND(NOT(ISNUMBER(AB11)),NOT(ISNUMBER(AG11))),"",IF(ISNUMBER(AB11),AB11,0)+IF(ISNUMBER(AG11),AG11,0))</f>
        <v/>
      </c>
      <c r="S11" s="102" t="s">
        <v>484</v>
      </c>
      <c r="T11" s="48" t="str">
        <f>IF(ISNUMBER(L11),"Kohdetieto",IF(OR(C11=Pudotusvalikot!$D$14,C11=Pudotusvalikot!$D$15),Kalusto!$I$96,VLOOKUP(C11,Kalusto!$C$44:$L$83,7,FALSE)))</f>
        <v>Puoliperävaunu</v>
      </c>
      <c r="U11" s="48">
        <f>IF(ISNUMBER(L11),"Kohdetieto",IF(OR(C11=Pudotusvalikot!$D$14,C11=Pudotusvalikot!$D$15),Kalusto!$J$96,VLOOKUP(C11,Kalusto!$C$44:$L$83,8,FALSE)))</f>
        <v>40</v>
      </c>
      <c r="V11" s="49">
        <f>IF(ISNUMBER(L11),"Kohdetieto",IF(OR(C11=Pudotusvalikot!$D$14,C11=Pudotusvalikot!$D$15),Kalusto!$K$96,VLOOKUP(C11,Kalusto!$C$44:$L$83,9,FALSE)))</f>
        <v>0.8</v>
      </c>
      <c r="W11" s="49" t="str">
        <f>IF(ISNUMBER(L11),"Kohdetieto",IF(OR(C11=Pudotusvalikot!$D$14,C11=Pudotusvalikot!$D$15),Kalusto!$L$96,VLOOKUP(C11,Kalusto!$C$44:$L$83,10,FALSE)))</f>
        <v>maantieajo</v>
      </c>
      <c r="X11" s="50" t="str">
        <f>IF(ISBLANK(C13),"",C13)</f>
        <v/>
      </c>
      <c r="Y11" s="48" t="str">
        <f>IF(ISNUMBER(C14),C14,"")</f>
        <v/>
      </c>
      <c r="Z11" s="50" t="str">
        <f>IF(ISNUMBER(X11/(U11*V11)*Y11),X11/(U11*V11)*Y11,"")</f>
        <v/>
      </c>
      <c r="AA11" s="51">
        <f>IF(ISNUMBER(L11),L11,K11)</f>
        <v>5.7709999999999997E-2</v>
      </c>
      <c r="AB11" s="50" t="str">
        <f>IF(ISNUMBER(Y11*X11*K11),Y11*X11*K11,"")</f>
        <v/>
      </c>
      <c r="AC11" s="50" t="str">
        <f>IF(C26="Kyllä",Y11,"")</f>
        <v/>
      </c>
      <c r="AD11" s="50" t="str">
        <f>IF(C26="Kyllä",IF(ISNUMBER(X11/(U11*V11)),CEILING(X11/(U11*V11),1),""),"")</f>
        <v/>
      </c>
      <c r="AE11" s="50" t="str">
        <f>IF(ISNUMBER(AD11*AC11),AD11*AC11,"")</f>
        <v/>
      </c>
      <c r="AF11" s="51">
        <f ca="1">IF(ISNUMBER(L13),L13,K13)</f>
        <v>0.81247999999999998</v>
      </c>
      <c r="AG11" s="50" t="str">
        <f ca="1">IF(ISNUMBER(AC11*AD11*K13),AC11*AD11*K13,"")</f>
        <v/>
      </c>
      <c r="AH11" s="48">
        <f>IF(T11="Jakelukuorma-auto",0,IF(T11="Maansiirtoauto",4,IF(T11="Puoliperävaunu",6,8)))</f>
        <v>6</v>
      </c>
      <c r="AI11" s="48">
        <f>IF(AND(T11="Jakelukuorma-auto",U11=6),0,IF(AND(T11="Jakelukuorma-auto",U11=15),2,0))</f>
        <v>0</v>
      </c>
      <c r="AJ11" s="48">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5" x14ac:dyDescent="0.3">
      <c r="B12" s="186" t="s">
        <v>506</v>
      </c>
      <c r="C12" s="160" t="s">
        <v>242</v>
      </c>
      <c r="D12" s="34"/>
      <c r="E12" s="34"/>
      <c r="F12" s="34"/>
      <c r="G12" s="34"/>
      <c r="H12" s="59"/>
      <c r="J12" s="173"/>
      <c r="K12" s="173"/>
      <c r="L12" s="173"/>
      <c r="M12" s="41"/>
      <c r="N12" s="41"/>
      <c r="O12" s="265"/>
      <c r="Q12" s="47"/>
      <c r="R12" s="36"/>
      <c r="S12" s="36"/>
      <c r="T12" s="36"/>
      <c r="U12" s="36"/>
      <c r="V12" s="181"/>
      <c r="W12" s="181"/>
      <c r="X12" s="61"/>
      <c r="Y12" s="36"/>
      <c r="Z12" s="61"/>
      <c r="AA12" s="182"/>
      <c r="AB12" s="61"/>
      <c r="AC12" s="61"/>
      <c r="AD12" s="61"/>
      <c r="AE12" s="61"/>
      <c r="AF12" s="182"/>
      <c r="AG12" s="61"/>
      <c r="AH12" s="36"/>
      <c r="AI12" s="36"/>
      <c r="AJ12" s="36"/>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5" x14ac:dyDescent="0.3">
      <c r="B13" s="45" t="s">
        <v>573</v>
      </c>
      <c r="C13" s="156"/>
      <c r="D13" s="84" t="s">
        <v>52</v>
      </c>
      <c r="G13" s="34"/>
      <c r="H13" s="84"/>
      <c r="J13" s="33" t="s">
        <v>442</v>
      </c>
      <c r="K13" s="96">
        <f ca="1">IF(ISNUMBER(L13),L13,IF($C$151="Ei","",IF(AND($C$151="Kyllä",OR(C11=Pudotusvalikot!$D$14,C11=Pudotusvalikot!$D$15)),Kalusto!$G$97,OFFSET(Kalusto!$G$85,AH11+AJ11+AI11,0,1,1)))*IF(OR(C12=Pudotusvalikot!$V$3,C12=Pudotusvalikot!$V$4),Muut!$E$38,IF(C12=Pudotusvalikot!$V$5,Muut!$E$39,IF(C12=Pudotusvalikot!$V$6,Muut!$E$40,Muut!$E$41))))</f>
        <v>0.81247999999999998</v>
      </c>
      <c r="L13" s="40"/>
      <c r="M13" s="41" t="s">
        <v>204</v>
      </c>
      <c r="N13" s="41"/>
      <c r="O13" s="265"/>
      <c r="P13" s="34"/>
      <c r="Q13" s="52"/>
      <c r="R13" s="50" t="str">
        <f ca="1">IF(ISNUMBER(R11),R11,"")</f>
        <v/>
      </c>
      <c r="S13" s="102" t="s">
        <v>485</v>
      </c>
      <c r="T13" s="36"/>
      <c r="U13" s="36"/>
      <c r="V13" s="36"/>
      <c r="W13" s="36"/>
      <c r="X13" s="36"/>
      <c r="Y13" s="36"/>
      <c r="Z13" s="36"/>
      <c r="AA13" s="36"/>
      <c r="AB13" s="36"/>
      <c r="AC13" s="36"/>
      <c r="AD13" s="36"/>
      <c r="AE13" s="36"/>
      <c r="AF13" s="36"/>
      <c r="AG13" s="36"/>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5" x14ac:dyDescent="0.3">
      <c r="B14" s="45" t="s">
        <v>574</v>
      </c>
      <c r="C14" s="156"/>
      <c r="D14" s="84" t="s">
        <v>5</v>
      </c>
      <c r="G14" s="34"/>
      <c r="H14" s="84"/>
      <c r="I14" s="53"/>
      <c r="J14" s="53"/>
      <c r="K14" s="34"/>
      <c r="L14" s="34"/>
      <c r="M14" s="84"/>
      <c r="N14" s="84"/>
      <c r="O14" s="100"/>
      <c r="P14" s="53"/>
      <c r="Q14" s="52"/>
      <c r="R14" s="36" t="s">
        <v>350</v>
      </c>
      <c r="S14" s="37"/>
      <c r="T14" s="36"/>
      <c r="U14" s="36"/>
      <c r="V14" s="36"/>
      <c r="W14" s="36"/>
      <c r="X14" s="36"/>
      <c r="Y14" s="36"/>
      <c r="Z14" s="36"/>
      <c r="AA14" s="36"/>
      <c r="AB14" s="36"/>
      <c r="AC14" s="36"/>
      <c r="AD14" s="36"/>
      <c r="AE14" s="36"/>
      <c r="AF14" s="36"/>
      <c r="AG14" s="36"/>
      <c r="AH14" s="36"/>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5" x14ac:dyDescent="0.3">
      <c r="B15" s="172" t="s">
        <v>439</v>
      </c>
      <c r="C15" s="34"/>
      <c r="D15" s="84"/>
      <c r="G15" s="34"/>
      <c r="H15" s="84"/>
      <c r="J15" s="33"/>
      <c r="K15" s="38" t="s">
        <v>329</v>
      </c>
      <c r="L15" s="38" t="s">
        <v>201</v>
      </c>
      <c r="M15" s="84"/>
      <c r="N15" s="84"/>
      <c r="O15" s="100"/>
      <c r="P15" s="34"/>
      <c r="Q15" s="35"/>
      <c r="R15" s="36" t="s">
        <v>172</v>
      </c>
      <c r="S15" s="36"/>
      <c r="T15" s="36" t="s">
        <v>446</v>
      </c>
      <c r="U15" s="36" t="s">
        <v>445</v>
      </c>
      <c r="V15" s="36" t="s">
        <v>443</v>
      </c>
      <c r="W15" s="36" t="s">
        <v>444</v>
      </c>
      <c r="X15" s="36" t="s">
        <v>447</v>
      </c>
      <c r="Y15" s="36" t="s">
        <v>449</v>
      </c>
      <c r="Z15" s="36" t="s">
        <v>448</v>
      </c>
      <c r="AA15" s="36" t="s">
        <v>202</v>
      </c>
      <c r="AB15" s="36" t="s">
        <v>380</v>
      </c>
      <c r="AC15" s="36" t="s">
        <v>450</v>
      </c>
      <c r="AD15" s="36" t="s">
        <v>381</v>
      </c>
      <c r="AE15" s="36" t="s">
        <v>451</v>
      </c>
      <c r="AF15" s="36" t="s">
        <v>452</v>
      </c>
      <c r="AG15" s="36" t="s">
        <v>638</v>
      </c>
      <c r="AH15" s="36" t="s">
        <v>206</v>
      </c>
      <c r="AI15" s="36" t="s">
        <v>278</v>
      </c>
      <c r="AJ15" s="36" t="s">
        <v>207</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46.5" x14ac:dyDescent="0.3">
      <c r="B16" s="170" t="s">
        <v>504</v>
      </c>
      <c r="C16" s="392" t="s">
        <v>93</v>
      </c>
      <c r="D16" s="393"/>
      <c r="E16" s="393"/>
      <c r="F16" s="393"/>
      <c r="G16" s="394"/>
      <c r="H16" s="169"/>
      <c r="J16" s="173" t="s">
        <v>441</v>
      </c>
      <c r="K16" s="96">
        <f>IF(ISNUMBER(L16),L16,IF(OR(C16=Pudotusvalikot!$D$14,C16=Pudotusvalikot!$D$15),Kalusto!$G$96,VLOOKUP(C16,Kalusto!$C$44:$G$83,5,FALSE))*IF(OR(C17=Pudotusvalikot!$V$3,C17=Pudotusvalikot!$V$4),Muut!$E$38,IF(C17=Pudotusvalikot!$V$5,Muut!$E$39,IF(C17=Pudotusvalikot!$V$6,Muut!$E$40,Muut!$E$41))))</f>
        <v>5.7709999999999997E-2</v>
      </c>
      <c r="L16" s="40"/>
      <c r="M16" s="41" t="s">
        <v>200</v>
      </c>
      <c r="N16" s="41"/>
      <c r="O16" s="265"/>
      <c r="Q16" s="47"/>
      <c r="R16" s="50" t="str">
        <f ca="1">IF(AND(NOT(ISNUMBER(AB16)),NOT(ISNUMBER(AG16))),"",IF(ISNUMBER(AB16),AB16,0)+IF(ISNUMBER(AG16),AG16,0))</f>
        <v/>
      </c>
      <c r="S16" s="102" t="s">
        <v>484</v>
      </c>
      <c r="T16" s="48" t="str">
        <f>IF(ISNUMBER(L16),"Kohdetieto",IF(OR(C16=Pudotusvalikot!$D$14,C16=Pudotusvalikot!$D$15),Kalusto!$I$96,VLOOKUP(C16,Kalusto!$C$44:$L$83,7,FALSE)))</f>
        <v>Puoliperävaunu</v>
      </c>
      <c r="U16" s="48">
        <f>IF(ISNUMBER(L16),"Kohdetieto",IF(OR(C16=Pudotusvalikot!$D$14,C16=Pudotusvalikot!$D$15),Kalusto!$J$96,VLOOKUP(C16,Kalusto!$C$44:$L$83,8,FALSE)))</f>
        <v>40</v>
      </c>
      <c r="V16" s="49">
        <f>IF(ISNUMBER(L16),"Kohdetieto",IF(OR(C16=Pudotusvalikot!$D$14,C16=Pudotusvalikot!$D$15),Kalusto!$K$96,VLOOKUP(C16,Kalusto!$C$44:$L$83,9,FALSE)))</f>
        <v>0.8</v>
      </c>
      <c r="W16" s="49" t="str">
        <f>IF(ISNUMBER(L16),"Kohdetieto",IF(OR(C16=Pudotusvalikot!$D$14,C16=Pudotusvalikot!$D$15),Kalusto!$L$96,VLOOKUP(C16,Kalusto!$C$44:$L$83,10,FALSE)))</f>
        <v>maantieajo</v>
      </c>
      <c r="X16" s="50" t="str">
        <f>IF(ISBLANK(C18),"",C18)</f>
        <v/>
      </c>
      <c r="Y16" s="48" t="str">
        <f>IF(ISNUMBER(C19),C19,"")</f>
        <v/>
      </c>
      <c r="Z16" s="50" t="str">
        <f>IF(ISNUMBER(X16/(U16*V16)*Y16),X16/(U16*V16)*Y16,"")</f>
        <v/>
      </c>
      <c r="AA16" s="51">
        <f>IF(ISNUMBER(L16),L16,K16)</f>
        <v>5.7709999999999997E-2</v>
      </c>
      <c r="AB16" s="50" t="str">
        <f>IF(ISNUMBER(Y16*X16*K16),Y16*X16*K16,"")</f>
        <v/>
      </c>
      <c r="AC16" s="50" t="str">
        <f>IF(C31="Kyllä",Y16,"")</f>
        <v/>
      </c>
      <c r="AD16" s="50" t="str">
        <f>IF(C31="Kyllä",IF(ISNUMBER(X16/(U16*V16)),CEILING(X16/(U16*V16),1),""),"")</f>
        <v/>
      </c>
      <c r="AE16" s="50" t="str">
        <f>IF(ISNUMBER(AD16*AC16),AD16*AC16,"")</f>
        <v/>
      </c>
      <c r="AF16" s="51">
        <f ca="1">IF(ISNUMBER(L18),L18,K18)</f>
        <v>0.81247999999999998</v>
      </c>
      <c r="AG16" s="50" t="str">
        <f ca="1">IF(ISNUMBER(AC16*AD16*K18),AC16*AD16*K18,"")</f>
        <v/>
      </c>
      <c r="AH16" s="48">
        <f>IF(T16="Jakelukuorma-auto",0,IF(T16="Maansiirtoauto",4,IF(T16="Puoliperävaunu",6,8)))</f>
        <v>6</v>
      </c>
      <c r="AI16" s="48">
        <f>IF(AND(T16="Jakelukuorma-auto",U16=6),0,IF(AND(T16="Jakelukuorma-auto",U16=15),2,0))</f>
        <v>0</v>
      </c>
      <c r="AJ16" s="48">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5" x14ac:dyDescent="0.3">
      <c r="B17" s="186" t="s">
        <v>506</v>
      </c>
      <c r="C17" s="160" t="s">
        <v>242</v>
      </c>
      <c r="D17" s="34"/>
      <c r="E17" s="34"/>
      <c r="F17" s="34"/>
      <c r="G17" s="34"/>
      <c r="H17" s="59"/>
      <c r="J17" s="173"/>
      <c r="K17" s="173"/>
      <c r="L17" s="173"/>
      <c r="M17" s="41"/>
      <c r="N17" s="41"/>
      <c r="O17" s="265"/>
      <c r="Q17" s="47"/>
      <c r="R17" s="36"/>
      <c r="S17" s="36"/>
      <c r="T17" s="36"/>
      <c r="U17" s="36"/>
      <c r="V17" s="181"/>
      <c r="W17" s="181"/>
      <c r="X17" s="61"/>
      <c r="Y17" s="36"/>
      <c r="Z17" s="61"/>
      <c r="AA17" s="182"/>
      <c r="AB17" s="61"/>
      <c r="AC17" s="61"/>
      <c r="AD17" s="61"/>
      <c r="AE17" s="61"/>
      <c r="AF17" s="182"/>
      <c r="AG17" s="61"/>
      <c r="AH17" s="36"/>
      <c r="AI17" s="36"/>
      <c r="AJ17" s="36"/>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5" x14ac:dyDescent="0.3">
      <c r="B18" s="45" t="s">
        <v>573</v>
      </c>
      <c r="C18" s="157"/>
      <c r="D18" s="84" t="s">
        <v>52</v>
      </c>
      <c r="G18" s="34"/>
      <c r="H18" s="84"/>
      <c r="J18" s="33" t="s">
        <v>442</v>
      </c>
      <c r="K18" s="96">
        <f ca="1">IF(ISNUMBER(L18),L18,IF($C$151="Ei","",IF(AND($C$151="Kyllä",OR(C16=Pudotusvalikot!$D$14,C16=Pudotusvalikot!$D$15)),Kalusto!$G$97,OFFSET(Kalusto!$G$85,AH16+AJ16+AI16,0,1,1)))*IF(OR(C17=Pudotusvalikot!$V$3,C17=Pudotusvalikot!$V$4),Muut!$E$38,IF(C17=Pudotusvalikot!$V$5,Muut!$E$39,IF(C17=Pudotusvalikot!$V$6,Muut!$E$40,Muut!$E$41))))</f>
        <v>0.81247999999999998</v>
      </c>
      <c r="L18" s="40"/>
      <c r="M18" s="41" t="s">
        <v>204</v>
      </c>
      <c r="N18" s="41"/>
      <c r="O18" s="265"/>
      <c r="P18" s="34"/>
      <c r="Q18" s="52"/>
      <c r="R18" s="50" t="str">
        <f ca="1">IF(ISNUMBER(R16),R16,"")</f>
        <v/>
      </c>
      <c r="S18" s="102" t="s">
        <v>485</v>
      </c>
      <c r="T18" s="36"/>
      <c r="U18" s="36"/>
      <c r="V18" s="36"/>
      <c r="W18" s="36"/>
      <c r="X18" s="36"/>
      <c r="Y18" s="36"/>
      <c r="Z18" s="36"/>
      <c r="AA18" s="36"/>
      <c r="AB18" s="36"/>
      <c r="AC18" s="36"/>
      <c r="AD18" s="36"/>
      <c r="AE18" s="36"/>
      <c r="AF18" s="36"/>
      <c r="AG18" s="36"/>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5" x14ac:dyDescent="0.3">
      <c r="B19" s="45" t="s">
        <v>574</v>
      </c>
      <c r="C19" s="158"/>
      <c r="D19" s="84" t="s">
        <v>5</v>
      </c>
      <c r="G19" s="34"/>
      <c r="H19" s="84"/>
      <c r="I19" s="53"/>
      <c r="J19" s="53"/>
      <c r="K19" s="34"/>
      <c r="L19" s="34"/>
      <c r="M19" s="84"/>
      <c r="N19" s="84"/>
      <c r="O19" s="100"/>
      <c r="P19" s="53"/>
      <c r="Q19" s="52"/>
      <c r="R19" s="36" t="s">
        <v>350</v>
      </c>
      <c r="S19" s="36"/>
      <c r="T19" s="36"/>
      <c r="U19" s="36"/>
      <c r="V19" s="36"/>
      <c r="W19" s="36"/>
      <c r="X19" s="36"/>
      <c r="Y19" s="36"/>
      <c r="Z19" s="36"/>
      <c r="AA19" s="36"/>
      <c r="AB19" s="36"/>
      <c r="AC19" s="36"/>
      <c r="AD19" s="36"/>
      <c r="AE19" s="36"/>
      <c r="AF19" s="36"/>
      <c r="AG19" s="36"/>
      <c r="AH19" s="36"/>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5" x14ac:dyDescent="0.3">
      <c r="B20" s="172" t="s">
        <v>440</v>
      </c>
      <c r="C20" s="34"/>
      <c r="D20" s="84"/>
      <c r="G20" s="34"/>
      <c r="H20" s="84"/>
      <c r="J20" s="33"/>
      <c r="K20" s="38" t="s">
        <v>329</v>
      </c>
      <c r="L20" s="38" t="s">
        <v>201</v>
      </c>
      <c r="M20" s="84"/>
      <c r="N20" s="84"/>
      <c r="O20" s="100"/>
      <c r="P20" s="34"/>
      <c r="Q20" s="35"/>
      <c r="R20" s="36" t="s">
        <v>172</v>
      </c>
      <c r="S20" s="36"/>
      <c r="T20" s="36" t="s">
        <v>446</v>
      </c>
      <c r="U20" s="36" t="s">
        <v>445</v>
      </c>
      <c r="V20" s="36" t="s">
        <v>443</v>
      </c>
      <c r="W20" s="36" t="s">
        <v>444</v>
      </c>
      <c r="X20" s="36" t="s">
        <v>447</v>
      </c>
      <c r="Y20" s="36" t="s">
        <v>449</v>
      </c>
      <c r="Z20" s="36" t="s">
        <v>448</v>
      </c>
      <c r="AA20" s="36" t="s">
        <v>202</v>
      </c>
      <c r="AB20" s="36" t="s">
        <v>380</v>
      </c>
      <c r="AC20" s="36" t="s">
        <v>450</v>
      </c>
      <c r="AD20" s="36" t="s">
        <v>381</v>
      </c>
      <c r="AE20" s="36" t="s">
        <v>451</v>
      </c>
      <c r="AF20" s="36" t="s">
        <v>452</v>
      </c>
      <c r="AG20" s="36" t="s">
        <v>638</v>
      </c>
      <c r="AH20" s="36" t="s">
        <v>206</v>
      </c>
      <c r="AI20" s="36" t="s">
        <v>278</v>
      </c>
      <c r="AJ20" s="36" t="s">
        <v>207</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46.5" x14ac:dyDescent="0.3">
      <c r="B21" s="170" t="s">
        <v>504</v>
      </c>
      <c r="C21" s="392" t="s">
        <v>93</v>
      </c>
      <c r="D21" s="393"/>
      <c r="E21" s="393"/>
      <c r="F21" s="393"/>
      <c r="G21" s="394"/>
      <c r="H21" s="169"/>
      <c r="J21" s="173" t="s">
        <v>441</v>
      </c>
      <c r="K21" s="96">
        <f>IF(ISNUMBER(L21),L21,IF(OR(C21=Pudotusvalikot!$D$14,C21=Pudotusvalikot!$D$15),Kalusto!$G$96,VLOOKUP(C21,Kalusto!$C$44:$G$83,5,FALSE))*IF(OR(C22=Pudotusvalikot!$V$3,C22=Pudotusvalikot!$V$4),Muut!$E$38,IF(C22=Pudotusvalikot!$V$5,Muut!$E$39,IF(C22=Pudotusvalikot!$V$6,Muut!$E$40,Muut!$E$41))))</f>
        <v>5.7709999999999997E-2</v>
      </c>
      <c r="L21" s="40"/>
      <c r="M21" s="41" t="s">
        <v>200</v>
      </c>
      <c r="N21" s="41"/>
      <c r="O21" s="265"/>
      <c r="Q21" s="47"/>
      <c r="R21" s="50" t="str">
        <f ca="1">IF(AND(NOT(ISNUMBER(AB21)),NOT(ISNUMBER(AG21))),"",IF(ISNUMBER(AB21),AB21,0)+IF(ISNUMBER(AG21),AG21,0))</f>
        <v/>
      </c>
      <c r="S21" s="102" t="s">
        <v>484</v>
      </c>
      <c r="T21" s="48" t="str">
        <f>IF(ISNUMBER(L21),"Kohdetieto",IF(OR(C21=Pudotusvalikot!$D$14,C21=Pudotusvalikot!$D$15),Kalusto!$I$96,VLOOKUP(C21,Kalusto!$C$44:$L$83,7,FALSE)))</f>
        <v>Puoliperävaunu</v>
      </c>
      <c r="U21" s="48">
        <f>IF(ISNUMBER(L21),"Kohdetieto",IF(OR(C21=Pudotusvalikot!$D$14,C21=Pudotusvalikot!$D$15),Kalusto!$J$96,VLOOKUP(C21,Kalusto!$C$44:$L$83,8,FALSE)))</f>
        <v>40</v>
      </c>
      <c r="V21" s="49">
        <f>IF(ISNUMBER(L21),"Kohdetieto",IF(OR(C21=Pudotusvalikot!$D$14,C21=Pudotusvalikot!$D$15),Kalusto!$K$96,VLOOKUP(C21,Kalusto!$C$44:$L$83,9,FALSE)))</f>
        <v>0.8</v>
      </c>
      <c r="W21" s="49" t="str">
        <f>IF(ISNUMBER(L21),"Kohdetieto",IF(OR(C21=Pudotusvalikot!$D$14,C21=Pudotusvalikot!$D$15),Kalusto!$L$96,VLOOKUP(C21,Kalusto!$C$44:$L$83,10,FALSE)))</f>
        <v>maantieajo</v>
      </c>
      <c r="X21" s="50" t="str">
        <f>IF(ISBLANK(C23),"",C23)</f>
        <v/>
      </c>
      <c r="Y21" s="48" t="str">
        <f>IF(ISNUMBER(C24),C24,"")</f>
        <v/>
      </c>
      <c r="Z21" s="50" t="str">
        <f>IF(ISNUMBER(X21/(U21*V21)*Y21),X21/(U21*V21)*Y21,"")</f>
        <v/>
      </c>
      <c r="AA21" s="51">
        <f>IF(ISNUMBER(L21),L21,K21)</f>
        <v>5.7709999999999997E-2</v>
      </c>
      <c r="AB21" s="50" t="str">
        <f>IF(ISNUMBER(Y21*X21*K21),Y21*X21*K21,"")</f>
        <v/>
      </c>
      <c r="AC21" s="50" t="str">
        <f>IF(C40="Kyllä",Y21,"")</f>
        <v/>
      </c>
      <c r="AD21" s="50" t="str">
        <f>IF(C40="Kyllä",IF(ISNUMBER(X21/(U21*V21)),CEILING(X21/(U21*V21),1),""),"")</f>
        <v/>
      </c>
      <c r="AE21" s="50" t="str">
        <f>IF(ISNUMBER(AD21*AC21),AD21*AC21,"")</f>
        <v/>
      </c>
      <c r="AF21" s="51">
        <f ca="1">IF(ISNUMBER(L23),L23,K23)</f>
        <v>0.81247999999999998</v>
      </c>
      <c r="AG21" s="50" t="str">
        <f ca="1">IF(ISNUMBER(AC21*AD21*K23),AC21*AD21*K23,"")</f>
        <v/>
      </c>
      <c r="AH21" s="48">
        <f>IF(T21="Jakelukuorma-auto",0,IF(T21="Maansiirtoauto",4,IF(T21="Puoliperävaunu",6,8)))</f>
        <v>6</v>
      </c>
      <c r="AI21" s="48">
        <f>IF(AND(T21="Jakelukuorma-auto",U21=6),0,IF(AND(T21="Jakelukuorma-auto",U21=15),2,0))</f>
        <v>0</v>
      </c>
      <c r="AJ21" s="48">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5" x14ac:dyDescent="0.3">
      <c r="B22" s="186" t="s">
        <v>506</v>
      </c>
      <c r="C22" s="160" t="s">
        <v>242</v>
      </c>
      <c r="D22" s="34"/>
      <c r="E22" s="34"/>
      <c r="F22" s="34"/>
      <c r="G22" s="34"/>
      <c r="H22" s="59"/>
      <c r="J22" s="173"/>
      <c r="K22" s="173"/>
      <c r="L22" s="173"/>
      <c r="M22" s="41"/>
      <c r="N22" s="41"/>
      <c r="O22" s="265"/>
      <c r="Q22" s="47"/>
      <c r="R22" s="36"/>
      <c r="S22" s="36"/>
      <c r="T22" s="36"/>
      <c r="U22" s="36"/>
      <c r="V22" s="181"/>
      <c r="W22" s="181"/>
      <c r="X22" s="61"/>
      <c r="Y22" s="36"/>
      <c r="Z22" s="61"/>
      <c r="AA22" s="182"/>
      <c r="AB22" s="61"/>
      <c r="AC22" s="61"/>
      <c r="AD22" s="61"/>
      <c r="AE22" s="61"/>
      <c r="AF22" s="182"/>
      <c r="AG22" s="61"/>
      <c r="AH22" s="36"/>
      <c r="AI22" s="36"/>
      <c r="AJ22" s="36"/>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5" x14ac:dyDescent="0.3">
      <c r="B23" s="45" t="s">
        <v>505</v>
      </c>
      <c r="C23" s="156"/>
      <c r="D23" s="84" t="s">
        <v>52</v>
      </c>
      <c r="G23" s="34"/>
      <c r="H23" s="84"/>
      <c r="J23" s="33" t="s">
        <v>442</v>
      </c>
      <c r="K23" s="96">
        <f ca="1">IF(ISNUMBER(L23),L23,IF($C$151="Ei","",IF(AND($C$151="Kyllä",OR(C21=Pudotusvalikot!$D$14,C21=Pudotusvalikot!$D$15)),Kalusto!$G$97,OFFSET(Kalusto!$G$85,AH21+AJ21+AI21,0,1,1)))*IF(OR(C22=Pudotusvalikot!$V$3,C22=Pudotusvalikot!$V$4),Muut!$E$38,IF(C22=Pudotusvalikot!$V$5,Muut!$E$39,IF(C22=Pudotusvalikot!$V$6,Muut!$E$40,Muut!$E$41))))</f>
        <v>0.81247999999999998</v>
      </c>
      <c r="L23" s="40"/>
      <c r="M23" s="41" t="s">
        <v>204</v>
      </c>
      <c r="N23" s="41"/>
      <c r="O23" s="265"/>
      <c r="P23" s="34"/>
      <c r="Q23" s="52"/>
      <c r="R23" s="50" t="str">
        <f ca="1">IF(ISNUMBER(R21),R21,"")</f>
        <v/>
      </c>
      <c r="S23" s="102" t="s">
        <v>485</v>
      </c>
      <c r="T23" s="36"/>
      <c r="U23" s="36"/>
      <c r="V23" s="36"/>
      <c r="W23" s="36"/>
      <c r="X23" s="36"/>
      <c r="Y23" s="36"/>
      <c r="Z23" s="36"/>
      <c r="AA23" s="36"/>
      <c r="AB23" s="36"/>
      <c r="AC23" s="36"/>
      <c r="AD23" s="36"/>
      <c r="AE23" s="36"/>
      <c r="AF23" s="36"/>
      <c r="AG23" s="36"/>
      <c r="AH23" s="36"/>
      <c r="AI23" s="36"/>
      <c r="AJ23" s="36"/>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5" x14ac:dyDescent="0.3">
      <c r="B24" s="45" t="s">
        <v>507</v>
      </c>
      <c r="C24" s="156"/>
      <c r="D24" s="84" t="s">
        <v>5</v>
      </c>
      <c r="G24" s="34"/>
      <c r="H24" s="84"/>
      <c r="I24" s="53"/>
      <c r="J24" s="53"/>
      <c r="K24" s="34"/>
      <c r="L24" s="34"/>
      <c r="M24" s="84"/>
      <c r="N24" s="84"/>
      <c r="O24" s="100"/>
      <c r="P24" s="53"/>
      <c r="Q24" s="52"/>
      <c r="R24" s="36"/>
      <c r="S24" s="36"/>
      <c r="T24" s="36"/>
      <c r="U24" s="36"/>
      <c r="V24" s="36"/>
      <c r="W24" s="36"/>
      <c r="X24" s="36"/>
      <c r="Y24" s="36"/>
      <c r="Z24" s="36"/>
      <c r="AA24" s="36"/>
      <c r="AB24" s="36"/>
      <c r="AC24" s="36"/>
      <c r="AD24" s="36"/>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5" x14ac:dyDescent="0.3">
      <c r="C25" s="34"/>
      <c r="D25" s="84"/>
      <c r="G25" s="34"/>
      <c r="H25" s="84"/>
      <c r="J25" s="33"/>
      <c r="K25" s="34"/>
      <c r="L25" s="34"/>
      <c r="M25" s="84"/>
      <c r="N25" s="84"/>
      <c r="O25" s="100"/>
      <c r="Q25" s="35"/>
      <c r="R25" s="36"/>
      <c r="S25" s="36"/>
      <c r="T25" s="36"/>
      <c r="U25" s="36"/>
      <c r="V25" s="36"/>
      <c r="W25" s="36"/>
      <c r="X25" s="36"/>
      <c r="Y25" s="36"/>
      <c r="Z25" s="36"/>
      <c r="AA25" s="36"/>
      <c r="AB25" s="36"/>
      <c r="AC25" s="36"/>
      <c r="AD25" s="36"/>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46.5" x14ac:dyDescent="0.3">
      <c r="B26" s="78" t="s">
        <v>668</v>
      </c>
      <c r="C26" s="392" t="s">
        <v>6</v>
      </c>
      <c r="D26" s="394"/>
      <c r="G26" s="82" t="str">
        <f>C26</f>
        <v>Kyllä</v>
      </c>
      <c r="H26" s="84"/>
      <c r="J26" s="33"/>
      <c r="K26" s="34"/>
      <c r="L26" s="34"/>
      <c r="M26" s="84"/>
      <c r="N26" s="84"/>
      <c r="O26" s="100"/>
      <c r="Q26" s="35"/>
      <c r="R26" s="99"/>
      <c r="S26" s="36"/>
      <c r="T26" s="36"/>
      <c r="U26" s="36"/>
      <c r="V26" s="36"/>
      <c r="W26" s="36"/>
      <c r="X26" s="36"/>
      <c r="Y26" s="36"/>
      <c r="Z26" s="36"/>
      <c r="AA26" s="36"/>
      <c r="AB26" s="36"/>
      <c r="AC26" s="36"/>
      <c r="AD26" s="36"/>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5" x14ac:dyDescent="0.3">
      <c r="C27" s="34"/>
      <c r="D27" s="84"/>
      <c r="G27" s="34"/>
      <c r="H27" s="84"/>
      <c r="K27" s="34"/>
      <c r="L27" s="34"/>
      <c r="M27" s="84"/>
      <c r="N27" s="84"/>
      <c r="O27" s="84"/>
      <c r="Q27" s="35"/>
      <c r="R27" s="99"/>
      <c r="S27" s="36"/>
      <c r="T27" s="36"/>
      <c r="U27" s="36"/>
      <c r="V27" s="36"/>
      <c r="W27" s="36"/>
      <c r="X27" s="36"/>
      <c r="Y27" s="36"/>
      <c r="Z27" s="36"/>
      <c r="AA27" s="36"/>
      <c r="AB27" s="36"/>
      <c r="AC27" s="36"/>
      <c r="AD27" s="36"/>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298" customFormat="1" ht="18" x14ac:dyDescent="0.3">
      <c r="B28" s="295" t="s">
        <v>508</v>
      </c>
      <c r="C28" s="296"/>
      <c r="D28" s="297"/>
      <c r="G28" s="296"/>
      <c r="H28" s="297"/>
      <c r="K28" s="296"/>
      <c r="L28" s="296"/>
      <c r="M28" s="297"/>
      <c r="N28" s="297"/>
      <c r="O28" s="300"/>
      <c r="P28" s="320"/>
      <c r="Q28" s="304"/>
      <c r="S28" s="303"/>
      <c r="T28" s="303"/>
      <c r="U28" s="303"/>
      <c r="V28" s="303"/>
      <c r="W28" s="303"/>
      <c r="X28" s="303"/>
      <c r="Y28" s="303"/>
      <c r="Z28" s="303"/>
      <c r="AA28" s="303"/>
      <c r="AB28" s="303"/>
      <c r="AC28" s="303"/>
      <c r="AD28" s="303"/>
      <c r="AE28" s="303"/>
      <c r="AF28" s="303"/>
      <c r="AG28" s="303"/>
      <c r="AH28" s="303"/>
      <c r="AI28" s="303"/>
      <c r="AJ28" s="303"/>
      <c r="AK28" s="303"/>
      <c r="AL28" s="303"/>
      <c r="AM28" s="303"/>
      <c r="AN28" s="304"/>
      <c r="AO28" s="304"/>
      <c r="AP28" s="304"/>
      <c r="AQ28" s="304"/>
      <c r="AR28" s="304"/>
      <c r="AS28" s="304"/>
      <c r="AT28" s="304"/>
      <c r="AU28" s="304"/>
      <c r="AV28" s="304"/>
      <c r="AW28" s="304"/>
      <c r="AX28" s="304"/>
      <c r="AY28" s="304"/>
      <c r="AZ28" s="304"/>
      <c r="BA28" s="304"/>
      <c r="BB28" s="304"/>
      <c r="BC28" s="304"/>
      <c r="BD28" s="304"/>
      <c r="BE28" s="304"/>
    </row>
    <row r="29" spans="2:57" s="31" customFormat="1" ht="16" thickBot="1" x14ac:dyDescent="0.35">
      <c r="B29" s="9"/>
      <c r="C29" s="34"/>
      <c r="D29" s="84"/>
      <c r="G29" s="34"/>
      <c r="H29" s="84"/>
      <c r="J29" s="33"/>
      <c r="K29" s="38" t="s">
        <v>329</v>
      </c>
      <c r="L29" s="38" t="s">
        <v>201</v>
      </c>
      <c r="M29" s="86"/>
      <c r="N29" s="86"/>
      <c r="O29" s="255" t="s">
        <v>644</v>
      </c>
      <c r="P29" s="38"/>
      <c r="Q29" s="35"/>
      <c r="R29" s="61" t="s">
        <v>350</v>
      </c>
      <c r="S29" s="36"/>
      <c r="T29" s="36"/>
      <c r="U29" s="36"/>
      <c r="V29" s="36"/>
      <c r="W29" s="36"/>
      <c r="X29" s="36"/>
      <c r="Y29" s="36"/>
      <c r="Z29" s="36"/>
      <c r="AA29" s="36"/>
      <c r="AB29" s="36"/>
      <c r="AC29" s="36"/>
      <c r="AD29" s="36"/>
      <c r="AE29" s="36"/>
      <c r="AF29" s="36"/>
      <c r="AG29" s="36"/>
      <c r="AH29" s="36"/>
      <c r="AI29" s="36"/>
      <c r="AJ29" s="36"/>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16" thickBot="1" x14ac:dyDescent="0.4">
      <c r="B30" s="39" t="s">
        <v>474</v>
      </c>
      <c r="C30" s="156"/>
      <c r="D30" s="88" t="s">
        <v>174</v>
      </c>
      <c r="E30" s="32"/>
      <c r="F30" s="32"/>
      <c r="G30" s="34"/>
      <c r="H30" s="84"/>
      <c r="J30" s="33" t="s">
        <v>456</v>
      </c>
      <c r="K30" s="96">
        <f>Muut!$H$4</f>
        <v>8.4</v>
      </c>
      <c r="L30" s="40"/>
      <c r="M30" s="41" t="s">
        <v>298</v>
      </c>
      <c r="N30" s="41"/>
      <c r="O30" s="256"/>
      <c r="Q30" s="35"/>
      <c r="R30" s="132" t="str">
        <f>IF(ISNUMBER(C30),IF(ISNUMBER(L30),L30*C30,K30*C30),"")</f>
        <v/>
      </c>
      <c r="S30" s="102" t="s">
        <v>349</v>
      </c>
      <c r="T30" s="43"/>
      <c r="U30" s="43"/>
      <c r="V30" s="43"/>
      <c r="W30" s="36"/>
      <c r="X30" s="36"/>
      <c r="Y30" s="36"/>
      <c r="Z30" s="36"/>
      <c r="AA30" s="36"/>
      <c r="AB30" s="36"/>
      <c r="AC30" s="36"/>
      <c r="AD30" s="36"/>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5" x14ac:dyDescent="0.35">
      <c r="B31" s="170" t="s">
        <v>509</v>
      </c>
      <c r="C31" s="160" t="s">
        <v>242</v>
      </c>
      <c r="D31" s="88"/>
      <c r="E31" s="32"/>
      <c r="F31" s="32"/>
      <c r="G31" s="34"/>
      <c r="H31" s="84"/>
      <c r="J31" s="33" t="s">
        <v>455</v>
      </c>
      <c r="K31" s="96">
        <f>Muut!$H$5*IF(OR(C31=Pudotusvalikot!$V$3,C31=Pudotusvalikot!$V$4),Muut!$E$38,IF(C31=Pudotusvalikot!$V$5,Muut!$E$39,IF(C31=Pudotusvalikot!$V$6,Muut!$E$40,Muut!$E$41)))</f>
        <v>0.12327540000000001</v>
      </c>
      <c r="L31" s="40"/>
      <c r="M31" s="41" t="s">
        <v>298</v>
      </c>
      <c r="N31" s="41"/>
      <c r="O31" s="265"/>
      <c r="Q31" s="35"/>
      <c r="R31" s="131" t="str">
        <f>IF(ISNUMBER(C30),IF(ISNUMBER(L31),L31*C30,K31*C30),"")</f>
        <v/>
      </c>
      <c r="S31" s="102" t="s">
        <v>172</v>
      </c>
      <c r="T31" s="43"/>
      <c r="U31" s="43"/>
      <c r="V31" s="43"/>
      <c r="W31" s="36"/>
      <c r="X31" s="36"/>
      <c r="Y31" s="36"/>
      <c r="Z31" s="36"/>
      <c r="AA31" s="36"/>
      <c r="AB31" s="36"/>
      <c r="AC31" s="36"/>
      <c r="AD31" s="36"/>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5" x14ac:dyDescent="0.35">
      <c r="B32" s="39" t="s">
        <v>475</v>
      </c>
      <c r="C32" s="156"/>
      <c r="D32" s="88" t="s">
        <v>174</v>
      </c>
      <c r="E32" s="32"/>
      <c r="F32" s="32"/>
      <c r="G32" s="34"/>
      <c r="H32" s="84"/>
      <c r="J32" s="33" t="s">
        <v>454</v>
      </c>
      <c r="K32" s="96">
        <f>Muut!$H$6*IF(OR(C33=Pudotusvalikot!$V$3,C33=Pudotusvalikot!$V$4),Muut!$E$38,IF(C33=Pudotusvalikot!$V$5,Muut!$E$39,IF(C33=Pudotusvalikot!$V$6,Muut!$E$40,Muut!$E$41)))</f>
        <v>4.0956000000000006E-2</v>
      </c>
      <c r="L32" s="40"/>
      <c r="M32" s="41" t="s">
        <v>298</v>
      </c>
      <c r="N32" s="41"/>
      <c r="O32" s="265"/>
      <c r="Q32" s="35"/>
      <c r="R32" s="48" t="str">
        <f>IF(ISNUMBER(#REF!),IF(ISNUMBER(L32),L32*#REF!,K32*#REF!),"")</f>
        <v/>
      </c>
      <c r="S32" s="102" t="s">
        <v>172</v>
      </c>
      <c r="T32" s="43"/>
      <c r="U32" s="43"/>
      <c r="V32" s="43"/>
      <c r="W32" s="36"/>
      <c r="X32" s="36"/>
      <c r="Y32" s="36"/>
      <c r="Z32" s="36"/>
      <c r="AA32" s="36"/>
      <c r="AB32" s="36"/>
      <c r="AC32" s="36"/>
      <c r="AD32" s="36"/>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5" x14ac:dyDescent="0.3">
      <c r="B33" s="170" t="s">
        <v>509</v>
      </c>
      <c r="C33" s="160" t="s">
        <v>242</v>
      </c>
      <c r="D33" s="34"/>
      <c r="E33" s="34"/>
      <c r="F33" s="34"/>
      <c r="G33" s="34"/>
      <c r="H33" s="59"/>
      <c r="J33" s="173"/>
      <c r="K33" s="173"/>
      <c r="L33" s="173"/>
      <c r="M33" s="41"/>
      <c r="N33" s="41"/>
      <c r="O33" s="265"/>
      <c r="Q33" s="47"/>
      <c r="R33" s="102"/>
      <c r="S33" s="102"/>
      <c r="T33" s="36"/>
      <c r="U33" s="36"/>
      <c r="V33" s="181"/>
      <c r="W33" s="181"/>
      <c r="X33" s="61"/>
      <c r="Y33" s="36"/>
      <c r="Z33" s="61"/>
      <c r="AA33" s="182"/>
      <c r="AB33" s="61"/>
      <c r="AC33" s="61"/>
      <c r="AD33" s="61"/>
      <c r="AE33" s="61"/>
      <c r="AF33" s="182"/>
      <c r="AG33" s="61"/>
      <c r="AH33" s="36"/>
      <c r="AI33" s="36"/>
      <c r="AJ33" s="36"/>
      <c r="AK33" s="108"/>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5" x14ac:dyDescent="0.35">
      <c r="B34" s="39" t="s">
        <v>393</v>
      </c>
      <c r="C34" s="156"/>
      <c r="D34" s="88" t="s">
        <v>175</v>
      </c>
      <c r="E34" s="32"/>
      <c r="F34" s="32"/>
      <c r="G34" s="34"/>
      <c r="H34" s="84"/>
      <c r="J34" s="33" t="s">
        <v>453</v>
      </c>
      <c r="K34" s="96">
        <f>Muut!$H$7*IF(OR(C35=Pudotusvalikot!$V$3,C35=Pudotusvalikot!$V$4),Muut!$E$38,IF(C35=Pudotusvalikot!$V$5,Muut!$E$39,IF(C35=Pudotusvalikot!$V$6,Muut!$E$40,Muut!$E$41)))</f>
        <v>0.51195000000000002</v>
      </c>
      <c r="L34" s="40"/>
      <c r="M34" s="41" t="s">
        <v>226</v>
      </c>
      <c r="N34" s="41"/>
      <c r="O34" s="265"/>
      <c r="Q34" s="35"/>
      <c r="R34" s="48" t="str">
        <f>IF(ISNUMBER(C34),IF(ISNUMBER(L34),L34*C34,K34*C34),"")</f>
        <v/>
      </c>
      <c r="S34" s="102" t="s">
        <v>172</v>
      </c>
      <c r="T34" s="43"/>
      <c r="U34" s="43"/>
      <c r="V34" s="43"/>
      <c r="W34" s="36"/>
      <c r="X34" s="36"/>
      <c r="Y34" s="36"/>
      <c r="Z34" s="36"/>
      <c r="AA34" s="36"/>
      <c r="AB34" s="36"/>
      <c r="AC34" s="36"/>
      <c r="AD34" s="36"/>
      <c r="AE34" s="36"/>
      <c r="AF34" s="36"/>
      <c r="AG34" s="36"/>
      <c r="AH34" s="36"/>
      <c r="AI34" s="36"/>
      <c r="AJ34" s="36"/>
      <c r="AK34" s="36"/>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5" x14ac:dyDescent="0.3">
      <c r="B35" s="170" t="s">
        <v>509</v>
      </c>
      <c r="C35" s="160" t="s">
        <v>242</v>
      </c>
      <c r="D35" s="34"/>
      <c r="E35" s="34"/>
      <c r="F35" s="34"/>
      <c r="G35" s="34"/>
      <c r="H35" s="59"/>
      <c r="J35" s="173"/>
      <c r="K35" s="173"/>
      <c r="L35" s="173"/>
      <c r="M35" s="41"/>
      <c r="N35" s="41"/>
      <c r="O35" s="265"/>
      <c r="Q35" s="47"/>
      <c r="R35" s="102"/>
      <c r="S35" s="102"/>
      <c r="T35" s="36"/>
      <c r="U35" s="36"/>
      <c r="V35" s="181"/>
      <c r="W35" s="181"/>
      <c r="X35" s="61"/>
      <c r="Y35" s="36"/>
      <c r="Z35" s="61"/>
      <c r="AA35" s="182"/>
      <c r="AB35" s="61"/>
      <c r="AC35" s="61"/>
      <c r="AD35" s="61"/>
      <c r="AE35" s="61"/>
      <c r="AF35" s="182"/>
      <c r="AG35" s="61"/>
      <c r="AH35" s="36"/>
      <c r="AI35" s="36"/>
      <c r="AJ35" s="36"/>
      <c r="AK35" s="108"/>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5" x14ac:dyDescent="0.3">
      <c r="B36" s="9"/>
      <c r="C36" s="34"/>
      <c r="D36" s="84"/>
      <c r="G36" s="34"/>
      <c r="H36" s="84"/>
      <c r="K36" s="34"/>
      <c r="L36" s="34"/>
      <c r="M36" s="84"/>
      <c r="N36" s="84"/>
      <c r="O36" s="84"/>
      <c r="Q36" s="35"/>
      <c r="R36" s="36"/>
      <c r="S36" s="36"/>
      <c r="T36" s="36"/>
      <c r="U36" s="36"/>
      <c r="V36" s="36"/>
      <c r="W36" s="36"/>
      <c r="X36" s="36"/>
      <c r="Y36" s="36"/>
      <c r="Z36" s="36"/>
      <c r="AA36" s="36"/>
      <c r="AB36" s="36"/>
      <c r="AC36" s="36"/>
      <c r="AD36" s="36"/>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row>
    <row r="37" spans="2:57" s="298" customFormat="1" ht="18" x14ac:dyDescent="0.3">
      <c r="B37" s="295" t="s">
        <v>294</v>
      </c>
      <c r="C37" s="296"/>
      <c r="D37" s="297"/>
      <c r="G37" s="296"/>
      <c r="H37" s="297"/>
      <c r="K37" s="296"/>
      <c r="L37" s="296"/>
      <c r="M37" s="297"/>
      <c r="N37" s="297"/>
      <c r="O37" s="300"/>
      <c r="P37" s="320"/>
      <c r="Q37" s="304"/>
      <c r="S37" s="303"/>
      <c r="T37" s="303"/>
      <c r="U37" s="303"/>
      <c r="V37" s="303"/>
      <c r="W37" s="303"/>
      <c r="X37" s="303"/>
      <c r="Y37" s="303"/>
      <c r="Z37" s="303"/>
      <c r="AA37" s="303"/>
      <c r="AB37" s="303"/>
      <c r="AC37" s="303"/>
      <c r="AD37" s="303"/>
      <c r="AE37" s="303"/>
      <c r="AF37" s="303"/>
      <c r="AG37" s="303"/>
      <c r="AH37" s="303"/>
      <c r="AI37" s="303"/>
      <c r="AJ37" s="303"/>
      <c r="AK37" s="303"/>
      <c r="AL37" s="303"/>
      <c r="AM37" s="303"/>
      <c r="AN37" s="304"/>
      <c r="AO37" s="304"/>
      <c r="AP37" s="304"/>
      <c r="AQ37" s="304"/>
      <c r="AR37" s="304"/>
      <c r="AS37" s="304"/>
      <c r="AT37" s="304"/>
      <c r="AU37" s="304"/>
      <c r="AV37" s="304"/>
      <c r="AW37" s="304"/>
      <c r="AX37" s="304"/>
      <c r="AY37" s="304"/>
      <c r="AZ37" s="304"/>
      <c r="BA37" s="304"/>
      <c r="BB37" s="304"/>
      <c r="BC37" s="304"/>
      <c r="BD37" s="304"/>
      <c r="BE37" s="304"/>
    </row>
    <row r="38" spans="2:57" s="31" customFormat="1" ht="15.5" x14ac:dyDescent="0.3">
      <c r="B38" s="54"/>
      <c r="O38" s="255" t="s">
        <v>644</v>
      </c>
      <c r="Q38" s="133"/>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row>
    <row r="39" spans="2:57" s="31" customFormat="1" ht="15.5" x14ac:dyDescent="0.3">
      <c r="B39" s="155" t="s">
        <v>389</v>
      </c>
      <c r="C39" s="54"/>
      <c r="D39" s="54"/>
      <c r="E39" s="54"/>
      <c r="F39" s="54"/>
      <c r="G39" s="54"/>
      <c r="H39" s="54"/>
      <c r="I39" s="54"/>
      <c r="J39" s="54"/>
      <c r="K39" s="38" t="s">
        <v>329</v>
      </c>
      <c r="L39" s="38" t="s">
        <v>201</v>
      </c>
      <c r="M39" s="84"/>
      <c r="N39" s="84"/>
      <c r="O39" s="256"/>
      <c r="P39" s="38"/>
      <c r="Q39" s="35"/>
      <c r="R39" s="61" t="s">
        <v>350</v>
      </c>
      <c r="S39" s="36"/>
      <c r="T39" s="36" t="s">
        <v>275</v>
      </c>
      <c r="U39" s="36" t="s">
        <v>351</v>
      </c>
      <c r="V39" s="36" t="s">
        <v>352</v>
      </c>
      <c r="W39" s="36"/>
      <c r="X39" s="36"/>
      <c r="Y39" s="36"/>
      <c r="Z39" s="36"/>
      <c r="AA39" s="62"/>
      <c r="AB39" s="36"/>
      <c r="AC39" s="36"/>
      <c r="AD39" s="36"/>
      <c r="AE39" s="36"/>
      <c r="AF39" s="36"/>
      <c r="AG39" s="36"/>
      <c r="AH39" s="36"/>
      <c r="AI39" s="36"/>
      <c r="AJ39" s="36"/>
      <c r="AK39" s="36"/>
      <c r="AL39" s="36"/>
      <c r="AM39" s="36"/>
      <c r="AN39" s="37"/>
      <c r="AO39" s="37"/>
      <c r="AP39" s="37"/>
      <c r="AQ39" s="37"/>
      <c r="AR39" s="37"/>
      <c r="AS39" s="37"/>
      <c r="AT39" s="37"/>
      <c r="AU39" s="37"/>
      <c r="AV39" s="37"/>
      <c r="AW39" s="37"/>
      <c r="AX39" s="37"/>
      <c r="AY39" s="37"/>
      <c r="AZ39" s="37"/>
      <c r="BA39" s="37"/>
      <c r="BB39" s="37"/>
      <c r="BC39" s="37"/>
      <c r="BD39" s="37"/>
      <c r="BE39" s="37"/>
    </row>
    <row r="40" spans="2:57" s="31" customFormat="1" ht="15.5" x14ac:dyDescent="0.3">
      <c r="B40" s="54" t="s">
        <v>510</v>
      </c>
      <c r="C40" s="392" t="s">
        <v>128</v>
      </c>
      <c r="D40" s="393"/>
      <c r="E40" s="393"/>
      <c r="F40" s="393"/>
      <c r="G40" s="394"/>
      <c r="J40" s="33" t="s">
        <v>470</v>
      </c>
      <c r="K40" s="110">
        <f>IF(ISNUMBER(L40),L40,IF(OR(C40=Pudotusvalikot!$D$67,C40=Pudotusvalikot!$D$68),"--",VLOOKUP(C40,Kalusto!$C$5:$E$42,3,FALSE)*IF(OR(C41=Pudotusvalikot!$V$3,C41=Pudotusvalikot!$V$4),Muut!$E$38,IF(C41=Pudotusvalikot!$V$5,Muut!$E$39,IF(C41=Pudotusvalikot!$V$6,Muut!$E$40,Muut!$E$41)))))</f>
        <v>34.130000000000003</v>
      </c>
      <c r="L40" s="40"/>
      <c r="M40" s="41" t="s">
        <v>205</v>
      </c>
      <c r="N40" s="41"/>
      <c r="O40" s="265"/>
      <c r="P40" s="60"/>
      <c r="Q40" s="35"/>
      <c r="R40" s="50" t="str">
        <f>IF(ISNUMBER(K40*V40),K40*V40,"")</f>
        <v/>
      </c>
      <c r="S40" s="102" t="s">
        <v>172</v>
      </c>
      <c r="T40" s="50" t="str">
        <f>IF(ISNUMBER(C42),C42,"")</f>
        <v/>
      </c>
      <c r="U40" s="64" t="str">
        <f>IF(D42="h","",IF(ISNUMBER(C42),C42,""))</f>
        <v/>
      </c>
      <c r="V40" s="50" t="str">
        <f>IF(ISNUMBER(T40),IF(D42="h",C42,IF(ISNUMBER(T40*U40),IF(D42="m3/h",T40/U40,T40*U40),"")),"")</f>
        <v/>
      </c>
      <c r="W40" s="108"/>
      <c r="X40" s="61"/>
      <c r="Y40" s="36"/>
      <c r="Z40" s="36"/>
      <c r="AA40" s="36"/>
      <c r="AB40" s="36"/>
      <c r="AC40" s="36"/>
      <c r="AD40" s="36"/>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5" x14ac:dyDescent="0.3">
      <c r="B41" s="170" t="s">
        <v>509</v>
      </c>
      <c r="C41" s="160" t="s">
        <v>242</v>
      </c>
      <c r="D41" s="34"/>
      <c r="E41" s="34"/>
      <c r="F41" s="34"/>
      <c r="G41" s="34"/>
      <c r="J41" s="33"/>
      <c r="K41" s="33"/>
      <c r="L41" s="33"/>
      <c r="M41" s="33"/>
      <c r="N41" s="33"/>
      <c r="O41" s="271"/>
      <c r="P41" s="60"/>
      <c r="Q41" s="35"/>
      <c r="R41" s="61"/>
      <c r="S41" s="102"/>
      <c r="T41" s="61"/>
      <c r="U41" s="62"/>
      <c r="V41" s="61"/>
      <c r="W41" s="108"/>
      <c r="X41" s="61"/>
      <c r="Y41" s="36"/>
      <c r="Z41" s="36"/>
      <c r="AA41" s="36"/>
      <c r="AB41" s="36"/>
      <c r="AC41" s="36"/>
      <c r="AD41" s="36"/>
      <c r="AE41" s="36"/>
      <c r="AF41" s="36"/>
      <c r="AG41" s="36"/>
      <c r="AH41" s="36"/>
      <c r="AI41" s="36"/>
      <c r="AJ41" s="36"/>
      <c r="AK41" s="36"/>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15.5" x14ac:dyDescent="0.3">
      <c r="B42" s="45" t="s">
        <v>392</v>
      </c>
      <c r="C42" s="159"/>
      <c r="D42" s="84" t="s">
        <v>51</v>
      </c>
      <c r="E42" s="34"/>
      <c r="F42" s="34"/>
      <c r="G42" s="34"/>
      <c r="J42" s="33"/>
      <c r="M42" s="84"/>
      <c r="N42" s="84"/>
      <c r="O42" s="100"/>
      <c r="P42" s="42"/>
      <c r="Q42" s="52"/>
      <c r="R42" s="111"/>
      <c r="S42" s="36"/>
      <c r="T42" s="36"/>
      <c r="U42" s="36"/>
      <c r="V42" s="36"/>
      <c r="W42" s="36"/>
      <c r="X42" s="36"/>
      <c r="Y42" s="36"/>
      <c r="Z42" s="36"/>
      <c r="AA42" s="36"/>
      <c r="AB42" s="36"/>
      <c r="AC42" s="36"/>
      <c r="AD42" s="36"/>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5" x14ac:dyDescent="0.3">
      <c r="B43" s="155" t="s">
        <v>390</v>
      </c>
      <c r="K43" s="38" t="s">
        <v>329</v>
      </c>
      <c r="L43" s="38" t="s">
        <v>201</v>
      </c>
      <c r="O43" s="259"/>
      <c r="Q43" s="133"/>
      <c r="R43" s="61" t="s">
        <v>350</v>
      </c>
      <c r="S43" s="108"/>
      <c r="T43" s="36" t="s">
        <v>275</v>
      </c>
      <c r="U43" s="36" t="s">
        <v>351</v>
      </c>
      <c r="V43" s="36" t="s">
        <v>352</v>
      </c>
      <c r="W43" s="36"/>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row>
    <row r="44" spans="2:57" s="31" customFormat="1" ht="15.65" customHeight="1" x14ac:dyDescent="0.3">
      <c r="B44" s="45" t="s">
        <v>510</v>
      </c>
      <c r="C44" s="392" t="s">
        <v>128</v>
      </c>
      <c r="D44" s="393"/>
      <c r="E44" s="393"/>
      <c r="F44" s="393"/>
      <c r="G44" s="394"/>
      <c r="J44" s="33" t="s">
        <v>470</v>
      </c>
      <c r="K44" s="110">
        <f>IF(ISNUMBER(L44),L44,IF(OR(C44=Pudotusvalikot!$D$67,C44=Pudotusvalikot!$D$68),"--",VLOOKUP(C44,Kalusto!$C$5:$E$42,3,FALSE)*IF(OR(C45=Pudotusvalikot!$V$3,C45=Pudotusvalikot!$V$4),Muut!$E$38,IF(C45=Pudotusvalikot!$V$5,Muut!$E$39,IF(C45=Pudotusvalikot!$V$6,Muut!$E$40,Muut!$E$41)))))</f>
        <v>34.130000000000003</v>
      </c>
      <c r="L44" s="40"/>
      <c r="M44" s="41" t="s">
        <v>205</v>
      </c>
      <c r="N44" s="41"/>
      <c r="O44" s="265"/>
      <c r="P44" s="60"/>
      <c r="Q44" s="35"/>
      <c r="R44" s="50" t="str">
        <f>IF(ISNUMBER(K44*V44),K44*V44,"")</f>
        <v/>
      </c>
      <c r="S44" s="102" t="s">
        <v>172</v>
      </c>
      <c r="T44" s="50" t="str">
        <f>IF(ISNUMBER(C46),C46,"")</f>
        <v/>
      </c>
      <c r="U44" s="64" t="str">
        <f>IF(D46="h","",IF(ISNUMBER(C46),C46,""))</f>
        <v/>
      </c>
      <c r="V44" s="50" t="str">
        <f>IF(ISNUMBER(T44),IF(D46="h",C46,IF(ISNUMBER(T44*U44),IF(D46="m3/h",T44/U44,T44*U44),"")),"")</f>
        <v/>
      </c>
      <c r="W44" s="108"/>
      <c r="X44" s="61"/>
      <c r="Y44" s="36"/>
      <c r="Z44" s="36"/>
      <c r="AA44" s="36"/>
      <c r="AB44" s="36"/>
      <c r="AC44" s="36"/>
      <c r="AD44" s="36"/>
      <c r="AE44" s="36"/>
      <c r="AF44" s="36"/>
      <c r="AG44" s="36"/>
      <c r="AH44" s="36"/>
      <c r="AI44" s="36"/>
      <c r="AJ44" s="36"/>
      <c r="AK44" s="36"/>
      <c r="AL44" s="36"/>
      <c r="AM44" s="36"/>
      <c r="AN44" s="37"/>
      <c r="AO44" s="37"/>
      <c r="AP44" s="37"/>
      <c r="AQ44" s="37"/>
      <c r="AR44" s="37"/>
      <c r="AS44" s="37"/>
      <c r="AT44" s="37"/>
      <c r="AU44" s="37"/>
      <c r="AV44" s="37"/>
      <c r="AW44" s="37"/>
      <c r="AX44" s="37"/>
      <c r="AY44" s="37"/>
      <c r="AZ44" s="37"/>
      <c r="BA44" s="37"/>
      <c r="BB44" s="37"/>
      <c r="BC44" s="37"/>
      <c r="BD44" s="37"/>
      <c r="BE44" s="37"/>
    </row>
    <row r="45" spans="2:57" s="31" customFormat="1" ht="15.65" customHeight="1" x14ac:dyDescent="0.3">
      <c r="B45" s="170" t="s">
        <v>509</v>
      </c>
      <c r="C45" s="160" t="s">
        <v>242</v>
      </c>
      <c r="D45" s="34"/>
      <c r="E45" s="34"/>
      <c r="F45" s="34"/>
      <c r="G45" s="34"/>
      <c r="J45" s="33"/>
      <c r="K45" s="33"/>
      <c r="L45" s="33"/>
      <c r="M45" s="33"/>
      <c r="N45" s="33"/>
      <c r="O45" s="271"/>
      <c r="P45" s="60"/>
      <c r="Q45" s="35"/>
      <c r="R45" s="61"/>
      <c r="S45" s="102"/>
      <c r="T45" s="61"/>
      <c r="U45" s="62"/>
      <c r="V45" s="61"/>
      <c r="W45" s="108"/>
      <c r="X45" s="61"/>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row>
    <row r="46" spans="2:57" s="31" customFormat="1" ht="15.5" x14ac:dyDescent="0.3">
      <c r="B46" s="45" t="s">
        <v>392</v>
      </c>
      <c r="C46" s="159"/>
      <c r="D46" s="84" t="s">
        <v>51</v>
      </c>
      <c r="E46" s="34"/>
      <c r="F46" s="34"/>
      <c r="G46" s="34"/>
      <c r="J46" s="33"/>
      <c r="K46" s="38"/>
      <c r="L46" s="38"/>
      <c r="M46" s="84"/>
      <c r="N46" s="84"/>
      <c r="O46" s="100"/>
      <c r="P46" s="42"/>
      <c r="Q46" s="52"/>
      <c r="R46" s="111"/>
      <c r="S46" s="36"/>
      <c r="T46" s="36"/>
      <c r="U46" s="36"/>
      <c r="V46" s="36"/>
      <c r="W46" s="36"/>
      <c r="X46" s="36"/>
      <c r="Y46" s="36"/>
      <c r="Z46" s="36"/>
      <c r="AA46" s="36"/>
      <c r="AB46" s="36"/>
      <c r="AC46" s="36"/>
      <c r="AD46" s="36"/>
      <c r="AE46" s="36"/>
      <c r="AF46" s="36"/>
      <c r="AG46" s="36"/>
      <c r="AH46" s="36"/>
      <c r="AI46" s="36"/>
      <c r="AJ46" s="36"/>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5" x14ac:dyDescent="0.3">
      <c r="B47" s="155" t="s">
        <v>391</v>
      </c>
      <c r="K47" s="38" t="s">
        <v>329</v>
      </c>
      <c r="L47" s="38" t="s">
        <v>201</v>
      </c>
      <c r="O47" s="259"/>
      <c r="Q47" s="133"/>
      <c r="R47" s="61" t="s">
        <v>350</v>
      </c>
      <c r="S47" s="108"/>
      <c r="T47" s="36" t="s">
        <v>275</v>
      </c>
      <c r="U47" s="36" t="s">
        <v>351</v>
      </c>
      <c r="V47" s="36" t="s">
        <v>352</v>
      </c>
      <c r="W47" s="36"/>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row>
    <row r="48" spans="2:57" s="31" customFormat="1" ht="15.5" x14ac:dyDescent="0.3">
      <c r="B48" s="45" t="s">
        <v>510</v>
      </c>
      <c r="C48" s="392" t="s">
        <v>128</v>
      </c>
      <c r="D48" s="393"/>
      <c r="E48" s="393"/>
      <c r="F48" s="393"/>
      <c r="G48" s="394"/>
      <c r="J48" s="33" t="s">
        <v>470</v>
      </c>
      <c r="K48" s="110">
        <f>IF(ISNUMBER(L48),L48,IF(OR(C48=Pudotusvalikot!$D$67,C48=Pudotusvalikot!$D$68),"--",VLOOKUP(C48,Kalusto!$C$5:$E$42,3,FALSE)*IF(OR(C49=Pudotusvalikot!$V$3,C49=Pudotusvalikot!$V$4),Muut!$E$38,IF(C49=Pudotusvalikot!$V$5,Muut!$E$39,IF(C49=Pudotusvalikot!$V$6,Muut!$E$40,Muut!$E$41)))))</f>
        <v>34.130000000000003</v>
      </c>
      <c r="L48" s="40"/>
      <c r="M48" s="41" t="s">
        <v>205</v>
      </c>
      <c r="N48" s="41"/>
      <c r="O48" s="265"/>
      <c r="P48" s="60"/>
      <c r="Q48" s="35"/>
      <c r="R48" s="50" t="str">
        <f>IF(ISNUMBER(K48*V48),K48*V48,"")</f>
        <v/>
      </c>
      <c r="S48" s="102" t="s">
        <v>172</v>
      </c>
      <c r="T48" s="50" t="str">
        <f>IF(ISNUMBER(C50),C50,"")</f>
        <v/>
      </c>
      <c r="U48" s="64" t="str">
        <f>IF(D50="h","",IF(ISNUMBER(C50),C50,""))</f>
        <v/>
      </c>
      <c r="V48" s="50" t="str">
        <f>IF(ISNUMBER(T48),IF(D50="h",C50,IF(ISNUMBER(T48*U48),IF(D50="m3/h",T48/U48,T48*U48),"")),"")</f>
        <v/>
      </c>
      <c r="W48" s="108"/>
      <c r="X48" s="61"/>
      <c r="Y48" s="36"/>
      <c r="Z48" s="36"/>
      <c r="AA48" s="36"/>
      <c r="AB48" s="36"/>
      <c r="AC48" s="36"/>
      <c r="AD48" s="36"/>
      <c r="AE48" s="36"/>
      <c r="AF48" s="36"/>
      <c r="AG48" s="36"/>
      <c r="AH48" s="36"/>
      <c r="AI48" s="36"/>
      <c r="AJ48" s="36"/>
      <c r="AK48" s="36"/>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5" x14ac:dyDescent="0.3">
      <c r="B49" s="170" t="s">
        <v>509</v>
      </c>
      <c r="C49" s="160" t="s">
        <v>242</v>
      </c>
      <c r="D49" s="34"/>
      <c r="E49" s="34"/>
      <c r="F49" s="34"/>
      <c r="G49" s="34"/>
      <c r="J49" s="33"/>
      <c r="K49" s="33"/>
      <c r="L49" s="33"/>
      <c r="M49" s="33"/>
      <c r="N49" s="33"/>
      <c r="O49" s="271"/>
      <c r="P49" s="60"/>
      <c r="Q49" s="35"/>
      <c r="R49" s="61"/>
      <c r="S49" s="102"/>
      <c r="T49" s="61"/>
      <c r="U49" s="62"/>
      <c r="V49" s="61"/>
      <c r="W49" s="108"/>
      <c r="X49" s="61"/>
      <c r="Y49" s="36"/>
      <c r="Z49" s="36"/>
      <c r="AA49" s="36"/>
      <c r="AB49" s="36"/>
      <c r="AC49" s="36"/>
      <c r="AD49" s="36"/>
      <c r="AE49" s="36"/>
      <c r="AF49" s="36"/>
      <c r="AG49" s="36"/>
      <c r="AH49" s="36"/>
      <c r="AI49" s="36"/>
      <c r="AJ49" s="36"/>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5" x14ac:dyDescent="0.3">
      <c r="B50" s="45" t="s">
        <v>392</v>
      </c>
      <c r="C50" s="159"/>
      <c r="D50" s="84" t="s">
        <v>51</v>
      </c>
      <c r="E50" s="34"/>
      <c r="F50" s="34"/>
      <c r="G50" s="34"/>
      <c r="J50" s="33"/>
      <c r="K50" s="34"/>
      <c r="L50" s="34"/>
      <c r="M50" s="84"/>
      <c r="N50" s="84"/>
      <c r="O50" s="100"/>
      <c r="P50" s="42"/>
      <c r="Q50" s="52"/>
      <c r="R50" s="111"/>
      <c r="S50" s="36"/>
      <c r="T50" s="36"/>
      <c r="U50" s="36"/>
      <c r="V50" s="36"/>
      <c r="W50" s="36"/>
      <c r="X50" s="36"/>
      <c r="Y50" s="36"/>
      <c r="Z50" s="36"/>
      <c r="AA50" s="36"/>
      <c r="AB50" s="36"/>
      <c r="AC50" s="36"/>
      <c r="AD50" s="36"/>
      <c r="AE50" s="36"/>
      <c r="AF50" s="36"/>
      <c r="AG50" s="36"/>
      <c r="AH50" s="36"/>
      <c r="AI50" s="36"/>
      <c r="AJ50" s="36"/>
      <c r="AK50" s="36"/>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5" x14ac:dyDescent="0.3">
      <c r="C51" s="80"/>
      <c r="D51" s="84"/>
      <c r="G51" s="34"/>
      <c r="H51" s="84"/>
      <c r="J51" s="33"/>
      <c r="K51" s="34"/>
      <c r="L51" s="34"/>
      <c r="M51" s="84"/>
      <c r="N51" s="84"/>
      <c r="O51" s="84"/>
      <c r="Q51" s="35"/>
      <c r="R51" s="111"/>
      <c r="S51" s="36"/>
      <c r="T51" s="36"/>
      <c r="U51" s="36"/>
      <c r="V51" s="36"/>
      <c r="W51" s="36"/>
      <c r="X51" s="36"/>
      <c r="Y51" s="36"/>
      <c r="Z51" s="36"/>
      <c r="AA51" s="36"/>
      <c r="AB51" s="36"/>
      <c r="AC51" s="36"/>
      <c r="AD51" s="36"/>
      <c r="AE51" s="36"/>
      <c r="AF51" s="36"/>
      <c r="AG51" s="36"/>
      <c r="AH51" s="36"/>
      <c r="AI51" s="36"/>
      <c r="AJ51" s="36"/>
      <c r="AK51" s="36"/>
      <c r="AL51" s="36"/>
      <c r="AM51" s="36"/>
      <c r="AN51" s="37"/>
      <c r="AO51" s="37"/>
      <c r="AP51" s="37"/>
      <c r="AQ51" s="37"/>
      <c r="AR51" s="37"/>
      <c r="AS51" s="37"/>
      <c r="AT51" s="37"/>
      <c r="AU51" s="37"/>
      <c r="AV51" s="37"/>
      <c r="AW51" s="37"/>
      <c r="AX51" s="37"/>
      <c r="AY51" s="37"/>
      <c r="AZ51" s="37"/>
      <c r="BA51" s="37"/>
      <c r="BB51" s="37"/>
      <c r="BC51" s="37"/>
      <c r="BD51" s="37"/>
      <c r="BE51" s="37"/>
    </row>
    <row r="52" spans="2:57" s="298" customFormat="1" ht="18" x14ac:dyDescent="0.3">
      <c r="B52" s="295" t="s">
        <v>676</v>
      </c>
      <c r="C52" s="296"/>
      <c r="D52" s="297"/>
      <c r="G52" s="296"/>
      <c r="H52" s="297"/>
      <c r="K52" s="296"/>
      <c r="L52" s="296"/>
      <c r="M52" s="297"/>
      <c r="N52" s="297"/>
      <c r="O52" s="300"/>
      <c r="P52" s="320"/>
      <c r="Q52" s="304"/>
      <c r="S52" s="303"/>
      <c r="T52" s="303"/>
      <c r="U52" s="303"/>
      <c r="V52" s="303"/>
      <c r="W52" s="303"/>
      <c r="X52" s="303"/>
      <c r="Y52" s="303"/>
      <c r="Z52" s="303"/>
      <c r="AA52" s="303"/>
      <c r="AB52" s="303"/>
      <c r="AC52" s="303"/>
      <c r="AD52" s="303"/>
      <c r="AE52" s="303"/>
      <c r="AF52" s="303"/>
      <c r="AG52" s="303"/>
      <c r="AH52" s="303"/>
      <c r="AI52" s="303"/>
      <c r="AJ52" s="303"/>
      <c r="AK52" s="303"/>
      <c r="AL52" s="303"/>
      <c r="AM52" s="303"/>
      <c r="AN52" s="304"/>
      <c r="AO52" s="304"/>
      <c r="AP52" s="304"/>
      <c r="AQ52" s="304"/>
      <c r="AR52" s="304"/>
      <c r="AS52" s="304"/>
      <c r="AT52" s="304"/>
      <c r="AU52" s="304"/>
      <c r="AV52" s="304"/>
      <c r="AW52" s="304"/>
      <c r="AX52" s="304"/>
      <c r="AY52" s="304"/>
      <c r="AZ52" s="304"/>
      <c r="BA52" s="304"/>
      <c r="BB52" s="304"/>
      <c r="BC52" s="304"/>
      <c r="BD52" s="304"/>
      <c r="BE52" s="304"/>
    </row>
    <row r="53" spans="2:57" s="31" customFormat="1" ht="15.5" x14ac:dyDescent="0.3">
      <c r="B53" s="9"/>
      <c r="C53" s="34"/>
      <c r="D53" s="84"/>
      <c r="E53" s="34"/>
      <c r="F53" s="34"/>
      <c r="G53" s="38"/>
      <c r="H53" s="84"/>
      <c r="J53" s="33"/>
      <c r="K53" s="38"/>
      <c r="L53" s="38"/>
      <c r="M53" s="86"/>
      <c r="N53" s="86"/>
      <c r="O53" s="255" t="s">
        <v>644</v>
      </c>
      <c r="P53" s="38"/>
      <c r="Q53" s="35"/>
      <c r="R53" s="99"/>
      <c r="S53" s="36"/>
      <c r="T53" s="36"/>
      <c r="U53" s="36"/>
      <c r="V53" s="36"/>
      <c r="W53" s="36"/>
      <c r="X53" s="36"/>
      <c r="Y53" s="36"/>
      <c r="Z53" s="36"/>
      <c r="AA53" s="36"/>
      <c r="AB53" s="36"/>
      <c r="AC53" s="36"/>
      <c r="AD53" s="36"/>
      <c r="AE53" s="36"/>
      <c r="AF53" s="36"/>
      <c r="AG53" s="36"/>
      <c r="AH53" s="36"/>
      <c r="AI53" s="36"/>
      <c r="AJ53" s="36"/>
      <c r="AK53" s="36"/>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5" x14ac:dyDescent="0.3">
      <c r="B54" s="155" t="s">
        <v>457</v>
      </c>
      <c r="C54" s="34" t="s">
        <v>50</v>
      </c>
      <c r="D54" s="84"/>
      <c r="E54" s="34"/>
      <c r="F54" s="34"/>
      <c r="G54" s="38" t="s">
        <v>199</v>
      </c>
      <c r="H54" s="84"/>
      <c r="J54" s="33"/>
      <c r="K54" s="38" t="s">
        <v>329</v>
      </c>
      <c r="L54" s="38" t="s">
        <v>201</v>
      </c>
      <c r="M54" s="86"/>
      <c r="N54" s="86"/>
      <c r="O54" s="256"/>
      <c r="P54" s="38"/>
      <c r="Q54" s="35"/>
      <c r="R54" s="61" t="s">
        <v>350</v>
      </c>
      <c r="S54" s="36"/>
      <c r="T54" s="36" t="s">
        <v>446</v>
      </c>
      <c r="U54" s="36" t="s">
        <v>445</v>
      </c>
      <c r="V54" s="36" t="s">
        <v>443</v>
      </c>
      <c r="W54" s="36" t="s">
        <v>444</v>
      </c>
      <c r="X54" s="36" t="s">
        <v>447</v>
      </c>
      <c r="Y54" s="36" t="s">
        <v>449</v>
      </c>
      <c r="Z54" s="36" t="s">
        <v>448</v>
      </c>
      <c r="AA54" s="36" t="s">
        <v>202</v>
      </c>
      <c r="AB54" s="36" t="s">
        <v>380</v>
      </c>
      <c r="AC54" s="36" t="s">
        <v>450</v>
      </c>
      <c r="AD54" s="36" t="s">
        <v>381</v>
      </c>
      <c r="AE54" s="36" t="s">
        <v>451</v>
      </c>
      <c r="AF54" s="36" t="s">
        <v>452</v>
      </c>
      <c r="AG54" s="36" t="s">
        <v>638</v>
      </c>
      <c r="AH54" s="36" t="s">
        <v>206</v>
      </c>
      <c r="AI54" s="36" t="s">
        <v>278</v>
      </c>
      <c r="AJ54" s="36" t="s">
        <v>207</v>
      </c>
      <c r="AK54" s="108"/>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46.5" x14ac:dyDescent="0.3">
      <c r="B55" s="170" t="s">
        <v>513</v>
      </c>
      <c r="C55" s="160"/>
      <c r="D55" s="89" t="s">
        <v>175</v>
      </c>
      <c r="E55" s="176"/>
      <c r="F55" s="57"/>
      <c r="G55" s="161"/>
      <c r="H55" s="84" t="str">
        <f>IF(D55="t","t/t","t/m3")</f>
        <v>t/m3</v>
      </c>
      <c r="I55" s="170"/>
      <c r="J55" s="173" t="s">
        <v>441</v>
      </c>
      <c r="K55" s="96">
        <f>IF(ISNUMBER(L55),L55,IF(OR(C56=Pudotusvalikot!$D$14,C56=Pudotusvalikot!$D$15),Kalusto!$G$96,VLOOKUP(C56,Kalusto!$C$44:$G$83,5,FALSE))*IF(OR(C57=Pudotusvalikot!$V$3,C57=Pudotusvalikot!$V$4),Muut!$E$38,IF(C57=Pudotusvalikot!$V$5,Muut!$E$39,IF(C57=Pudotusvalikot!$V$6,Muut!$E$40,Muut!$E$41))))</f>
        <v>6.1090000000000005E-2</v>
      </c>
      <c r="L55" s="40"/>
      <c r="M55" s="41" t="s">
        <v>200</v>
      </c>
      <c r="N55" s="41"/>
      <c r="O55" s="265"/>
      <c r="Q55" s="47"/>
      <c r="R55" s="50" t="str">
        <f ca="1">IF(AND(NOT(ISNUMBER(AB55)),NOT(ISNUMBER(AG55))),"",IF(ISNUMBER(AB55),AB55,0)+IF(ISNUMBER(AG55),AG55,0))</f>
        <v/>
      </c>
      <c r="S55" s="102" t="s">
        <v>172</v>
      </c>
      <c r="T55" s="48" t="str">
        <f>IF(ISNUMBER(L55),"Kohdetieto",IF(OR(C56=Pudotusvalikot!$D$14,C56=Pudotusvalikot!$D$15),Kalusto!$I$96,VLOOKUP(C56,Kalusto!$C$44:$L$83,7,FALSE)))</f>
        <v>Maansiirtoauto</v>
      </c>
      <c r="U55" s="48">
        <f>IF(ISNUMBER(L55),"Kohdetieto",IF(OR(C56=Pudotusvalikot!$D$14,C56=Pudotusvalikot!$D$15),Kalusto!$J$96,VLOOKUP(C56,Kalusto!$C$44:$L$83,8,FALSE)))</f>
        <v>32</v>
      </c>
      <c r="V55" s="49">
        <f>IF(ISNUMBER(L55),"Kohdetieto",IF(OR(C56=Pudotusvalikot!$D$14,C56=Pudotusvalikot!$D$15),Kalusto!$K$96,VLOOKUP(C56,Kalusto!$C$44:$L$83,9,FALSE)))</f>
        <v>0.8</v>
      </c>
      <c r="W55" s="49" t="str">
        <f>IF(ISNUMBER(L55),"Kohdetieto",IF(OR(C56=Pudotusvalikot!$D$14,C56=Pudotusvalikot!$D$15),Kalusto!$L$96,VLOOKUP(C56,Kalusto!$C$44:$L$83,10,FALSE)))</f>
        <v>maantieajo</v>
      </c>
      <c r="X55" s="50" t="str">
        <f>IF(ISBLANK(C55),"",IF(D55="t",C55,C55*G55))</f>
        <v/>
      </c>
      <c r="Y55" s="48" t="str">
        <f>IF(ISNUMBER(C58),C58,"")</f>
        <v/>
      </c>
      <c r="Z55" s="50" t="str">
        <f>IF(ISNUMBER(X55/(U55*V55)*Y55),X55/(U55*V55)*Y55,"")</f>
        <v/>
      </c>
      <c r="AA55" s="51">
        <f>IF(ISNUMBER(L55),L55,K55)</f>
        <v>6.1090000000000005E-2</v>
      </c>
      <c r="AB55" s="50" t="str">
        <f>IF(ISNUMBER(Y55*X55*K55),Y55*X55*K55,"")</f>
        <v/>
      </c>
      <c r="AC55" s="50" t="str">
        <f>IF(C80="Kyllä",Y55,"")</f>
        <v/>
      </c>
      <c r="AD55" s="50" t="str">
        <f>IF(C80="Kyllä",IF(ISNUMBER(X55/(U55*V55)),X55/(U55*V55),""),"")</f>
        <v/>
      </c>
      <c r="AE55" s="50" t="str">
        <f>IF(ISNUMBER(AD55*AC55),AD55*AC55,"")</f>
        <v/>
      </c>
      <c r="AF55" s="51">
        <f ca="1">IF(ISNUMBER(L56),L56,K56)</f>
        <v>0.71940999999999999</v>
      </c>
      <c r="AG55" s="50" t="str">
        <f ca="1">IF(ISNUMBER(AC55*AD55*K56),AC55*AD55*K56,"")</f>
        <v/>
      </c>
      <c r="AH55" s="48">
        <f>IF(T55="Jakelukuorma-auto",0,IF(T55="Maansiirtoauto",4,IF(T55="Puoliperävaunu",6,8)))</f>
        <v>4</v>
      </c>
      <c r="AI55" s="48">
        <f>IF(AND(T55="Jakelukuorma-auto",U55=6),0,IF(AND(T55="Jakelukuorma-auto",U55=15),2,0))</f>
        <v>0</v>
      </c>
      <c r="AJ55" s="48">
        <f>IF(W55="maantieajo",0,1)</f>
        <v>0</v>
      </c>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31" x14ac:dyDescent="0.3">
      <c r="B56" s="170" t="s">
        <v>512</v>
      </c>
      <c r="C56" s="392" t="s">
        <v>84</v>
      </c>
      <c r="D56" s="393"/>
      <c r="E56" s="393"/>
      <c r="F56" s="393"/>
      <c r="G56" s="394"/>
      <c r="H56" s="54"/>
      <c r="J56" s="33" t="s">
        <v>442</v>
      </c>
      <c r="K56" s="96">
        <f ca="1">IF(ISNUMBER(L56),L56,IF($C$108="Ei","",IF(AND($C$108="Kyllä",OR(C56=Pudotusvalikot!$D$14,C56=Pudotusvalikot!$D$15)),Kalusto!$G$97,OFFSET(Kalusto!$G$85,AH55+AJ55+AI55,0,1,1)))*IF(OR(C57=Pudotusvalikot!$V$3,C57=Pudotusvalikot!$V$4),Muut!$E$38,IF(C57=Pudotusvalikot!$V$5,Muut!$E$39,IF(C57=Pudotusvalikot!$V$6,Muut!$E$40,Muut!$E$41))))</f>
        <v>0.71940999999999999</v>
      </c>
      <c r="L56" s="40"/>
      <c r="M56" s="41" t="s">
        <v>204</v>
      </c>
      <c r="N56" s="41"/>
      <c r="O56" s="265"/>
      <c r="P56" s="34"/>
      <c r="Q56" s="52"/>
      <c r="R56" s="36"/>
      <c r="S56" s="36"/>
      <c r="T56" s="36"/>
      <c r="U56" s="36"/>
      <c r="V56" s="36"/>
      <c r="W56" s="36"/>
      <c r="X56" s="36"/>
      <c r="Y56" s="36"/>
      <c r="Z56" s="36"/>
      <c r="AA56" s="36"/>
      <c r="AB56" s="36"/>
      <c r="AC56" s="36"/>
      <c r="AD56" s="36"/>
      <c r="AE56" s="36"/>
      <c r="AF56" s="36"/>
      <c r="AG56" s="36"/>
      <c r="AH56" s="36"/>
      <c r="AI56" s="36"/>
      <c r="AJ56" s="36"/>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15.5" x14ac:dyDescent="0.3">
      <c r="B57" s="186" t="s">
        <v>506</v>
      </c>
      <c r="C57" s="160" t="s">
        <v>242</v>
      </c>
      <c r="D57" s="34"/>
      <c r="E57" s="34"/>
      <c r="F57" s="34"/>
      <c r="G57" s="34"/>
      <c r="H57" s="59"/>
      <c r="J57" s="173"/>
      <c r="K57" s="173"/>
      <c r="L57" s="173"/>
      <c r="M57" s="41"/>
      <c r="N57" s="41"/>
      <c r="O57" s="265"/>
      <c r="Q57" s="47"/>
      <c r="R57" s="102"/>
      <c r="S57" s="102"/>
      <c r="T57" s="36"/>
      <c r="U57" s="36"/>
      <c r="V57" s="181"/>
      <c r="W57" s="181"/>
      <c r="X57" s="61"/>
      <c r="Y57" s="36"/>
      <c r="Z57" s="61"/>
      <c r="AA57" s="182"/>
      <c r="AB57" s="61"/>
      <c r="AC57" s="61"/>
      <c r="AD57" s="61"/>
      <c r="AE57" s="61"/>
      <c r="AF57" s="182"/>
      <c r="AG57" s="61"/>
      <c r="AH57" s="36"/>
      <c r="AI57" s="36"/>
      <c r="AJ57" s="36"/>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5" x14ac:dyDescent="0.3">
      <c r="B58" s="45" t="s">
        <v>514</v>
      </c>
      <c r="C58" s="160"/>
      <c r="D58" s="84" t="s">
        <v>5</v>
      </c>
      <c r="G58" s="34"/>
      <c r="H58" s="54"/>
      <c r="J58" s="53"/>
      <c r="K58" s="34"/>
      <c r="L58" s="34"/>
      <c r="M58" s="84"/>
      <c r="N58" s="84"/>
      <c r="O58" s="100"/>
      <c r="P58" s="53"/>
      <c r="Q58" s="52"/>
      <c r="R58" s="36"/>
      <c r="S58" s="36"/>
      <c r="T58" s="36"/>
      <c r="U58" s="36"/>
      <c r="V58" s="36"/>
      <c r="W58" s="36"/>
      <c r="X58" s="36"/>
      <c r="Y58" s="36"/>
      <c r="Z58" s="36"/>
      <c r="AA58" s="36"/>
      <c r="AB58" s="36"/>
      <c r="AC58" s="36"/>
      <c r="AD58" s="36"/>
      <c r="AE58" s="36"/>
      <c r="AF58" s="36"/>
      <c r="AG58" s="36"/>
      <c r="AH58" s="36"/>
      <c r="AI58" s="36"/>
      <c r="AJ58" s="36"/>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5" x14ac:dyDescent="0.3">
      <c r="B59" s="155" t="s">
        <v>458</v>
      </c>
      <c r="C59" s="34"/>
      <c r="D59" s="84"/>
      <c r="G59" s="34"/>
      <c r="H59" s="84"/>
      <c r="J59" s="33"/>
      <c r="K59" s="38" t="s">
        <v>329</v>
      </c>
      <c r="L59" s="38" t="s">
        <v>201</v>
      </c>
      <c r="M59" s="84"/>
      <c r="N59" s="84"/>
      <c r="O59" s="100"/>
      <c r="P59" s="34"/>
      <c r="Q59" s="35"/>
      <c r="R59" s="61" t="s">
        <v>350</v>
      </c>
      <c r="S59" s="36"/>
      <c r="T59" s="36" t="s">
        <v>446</v>
      </c>
      <c r="U59" s="36" t="s">
        <v>445</v>
      </c>
      <c r="V59" s="36" t="s">
        <v>443</v>
      </c>
      <c r="W59" s="36" t="s">
        <v>444</v>
      </c>
      <c r="X59" s="36" t="s">
        <v>447</v>
      </c>
      <c r="Y59" s="36" t="s">
        <v>449</v>
      </c>
      <c r="Z59" s="36" t="s">
        <v>448</v>
      </c>
      <c r="AA59" s="36" t="s">
        <v>202</v>
      </c>
      <c r="AB59" s="36" t="s">
        <v>380</v>
      </c>
      <c r="AC59" s="36" t="s">
        <v>450</v>
      </c>
      <c r="AD59" s="36" t="s">
        <v>381</v>
      </c>
      <c r="AE59" s="36" t="s">
        <v>451</v>
      </c>
      <c r="AF59" s="36" t="s">
        <v>452</v>
      </c>
      <c r="AG59" s="36" t="s">
        <v>638</v>
      </c>
      <c r="AH59" s="36" t="s">
        <v>206</v>
      </c>
      <c r="AI59" s="36" t="s">
        <v>278</v>
      </c>
      <c r="AJ59" s="36" t="s">
        <v>207</v>
      </c>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46.5" x14ac:dyDescent="0.3">
      <c r="B60" s="170" t="s">
        <v>513</v>
      </c>
      <c r="C60" s="161"/>
      <c r="D60" s="89" t="s">
        <v>435</v>
      </c>
      <c r="E60" s="176"/>
      <c r="F60" s="57"/>
      <c r="G60" s="161"/>
      <c r="H60" s="84" t="str">
        <f>IF(D60="t","t/t","t/m3")</f>
        <v>t/m3</v>
      </c>
      <c r="J60" s="173" t="s">
        <v>441</v>
      </c>
      <c r="K60" s="96">
        <f>IF(ISNUMBER(L60),L60,IF(OR(C61=Pudotusvalikot!$D$14,C61=Pudotusvalikot!$D$15),Kalusto!$G$96,VLOOKUP(C61,Kalusto!$C$44:$G$83,5,FALSE))*IF(OR(C62=Pudotusvalikot!$V$3,C62=Pudotusvalikot!$V$4),Muut!$E$38,IF(C62=Pudotusvalikot!$V$5,Muut!$E$39,IF(C57=Pudotusvalikot!$V$6,Muut!$E$40,Muut!$E$41))))</f>
        <v>6.1090000000000005E-2</v>
      </c>
      <c r="L60" s="40"/>
      <c r="M60" s="41" t="s">
        <v>200</v>
      </c>
      <c r="N60" s="41"/>
      <c r="O60" s="265"/>
      <c r="Q60" s="47"/>
      <c r="R60" s="50" t="str">
        <f ca="1">IF(AND(NOT(ISNUMBER(AB60)),NOT(ISNUMBER(AG60))),"",IF(ISNUMBER(AB60),AB60,0)+IF(ISNUMBER(AG60),AG60,0))</f>
        <v/>
      </c>
      <c r="S60" s="102" t="s">
        <v>172</v>
      </c>
      <c r="T60" s="48" t="str">
        <f>IF(ISNUMBER(L60),"Kohdetieto",IF(OR(C61=Pudotusvalikot!$D$14,C61=Pudotusvalikot!$D$15),Kalusto!$I$96,VLOOKUP(C61,Kalusto!$C$44:$L$83,7,FALSE)))</f>
        <v>Maansiirtoauto</v>
      </c>
      <c r="U60" s="48">
        <f>IF(ISNUMBER(L60),"Kohdetieto",IF(OR(C61=Pudotusvalikot!$D$14,C61=Pudotusvalikot!$D$15),Kalusto!$J$96,VLOOKUP(C61,Kalusto!$C$44:$L$83,8,FALSE)))</f>
        <v>32</v>
      </c>
      <c r="V60" s="49">
        <f>IF(ISNUMBER(L60),"Kohdetieto",IF(OR(C61=Pudotusvalikot!$D$14,C61=Pudotusvalikot!$D$15),Kalusto!$K$96,VLOOKUP(C61,Kalusto!$C$44:$L$83,9,FALSE)))</f>
        <v>0.8</v>
      </c>
      <c r="W60" s="49" t="str">
        <f>IF(ISNUMBER(L60),"Kohdetieto",IF(OR(C61=Pudotusvalikot!$D$14,C61=Pudotusvalikot!$D$15),Kalusto!$L$96,VLOOKUP(C61,Kalusto!$C$44:$L$83,10,FALSE)))</f>
        <v>maantieajo</v>
      </c>
      <c r="X60" s="50" t="str">
        <f>IF(ISBLANK(C60),"",IF(D60="t",C60,C60*G60))</f>
        <v/>
      </c>
      <c r="Y60" s="48" t="str">
        <f>IF(ISNUMBER(C63),C63,"")</f>
        <v/>
      </c>
      <c r="Z60" s="50" t="str">
        <f>IF(ISNUMBER(X60/(U60*V60)*Y60),X60/(U60*V60)*Y60,"")</f>
        <v/>
      </c>
      <c r="AA60" s="51">
        <f>IF(ISNUMBER(L60),L60,K60)</f>
        <v>6.1090000000000005E-2</v>
      </c>
      <c r="AB60" s="50" t="str">
        <f>IF(ISNUMBER(Y60*X60*K60),Y60*X60*K60,"")</f>
        <v/>
      </c>
      <c r="AC60" s="50" t="str">
        <f>IF(C80="Kyllä",Y60,"")</f>
        <v/>
      </c>
      <c r="AD60" s="50" t="str">
        <f>IF(C80="Kyllä",IF(ISNUMBER(X60/(U60*V60)),X60/(U60*V60),""),"")</f>
        <v/>
      </c>
      <c r="AE60" s="50" t="str">
        <f>IF(ISNUMBER(AD60*AC60),AD60*AC60,"")</f>
        <v/>
      </c>
      <c r="AF60" s="51">
        <f ca="1">IF(ISNUMBER(L61),L61,K61)</f>
        <v>0.71940999999999999</v>
      </c>
      <c r="AG60" s="50" t="str">
        <f ca="1">IF(ISNUMBER(AC60*AD60*K61),AC60*AD60*K61,"")</f>
        <v/>
      </c>
      <c r="AH60" s="48">
        <f>IF(T60="Jakelukuorma-auto",0,IF(T60="Maansiirtoauto",4,IF(T60="Puoliperävaunu",6,8)))</f>
        <v>4</v>
      </c>
      <c r="AI60" s="48">
        <f>IF(AND(T60="Jakelukuorma-auto",U60=6),0,IF(AND(T60="Jakelukuorma-auto",U60=15),2,0))</f>
        <v>0</v>
      </c>
      <c r="AJ60" s="48">
        <f>IF(W60="maantieajo",0,1)</f>
        <v>0</v>
      </c>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31" x14ac:dyDescent="0.3">
      <c r="B61" s="170" t="s">
        <v>512</v>
      </c>
      <c r="C61" s="392" t="s">
        <v>84</v>
      </c>
      <c r="D61" s="393"/>
      <c r="E61" s="393"/>
      <c r="F61" s="393"/>
      <c r="G61" s="394"/>
      <c r="H61" s="84"/>
      <c r="J61" s="33" t="s">
        <v>442</v>
      </c>
      <c r="K61" s="96">
        <f ca="1">IF(ISNUMBER(L61),L61,IF($C$108="Ei","",IF(AND($C$108="Kyllä",OR(C61=Pudotusvalikot!$D$14,C61=Pudotusvalikot!$D$15)),Kalusto!$G$97,OFFSET(Kalusto!$G$85,AH60+AJ60+AI60,0,1,1)))*IF(OR(C62=Pudotusvalikot!$V$3,C62=Pudotusvalikot!$V$4),Muut!$E$38,IF(C62=Pudotusvalikot!$V$5,Muut!$E$39,IF(C57=Pudotusvalikot!$V$6,Muut!$E$40,Muut!$E$41))))</f>
        <v>0.71940999999999999</v>
      </c>
      <c r="L61" s="40"/>
      <c r="M61" s="41" t="s">
        <v>204</v>
      </c>
      <c r="N61" s="41"/>
      <c r="O61" s="265"/>
      <c r="P61" s="34"/>
      <c r="Q61" s="52"/>
      <c r="R61" s="36"/>
      <c r="S61" s="36"/>
      <c r="T61" s="36"/>
      <c r="U61" s="36"/>
      <c r="V61" s="36"/>
      <c r="W61" s="36"/>
      <c r="X61" s="36"/>
      <c r="Y61" s="36"/>
      <c r="Z61" s="36"/>
      <c r="AA61" s="36"/>
      <c r="AB61" s="36"/>
      <c r="AC61" s="36"/>
      <c r="AD61" s="36"/>
      <c r="AE61" s="36"/>
      <c r="AF61" s="36"/>
      <c r="AG61" s="36"/>
      <c r="AH61" s="36"/>
      <c r="AI61" s="36"/>
      <c r="AJ61" s="36"/>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15.5" x14ac:dyDescent="0.3">
      <c r="B62" s="186" t="s">
        <v>506</v>
      </c>
      <c r="C62" s="160" t="s">
        <v>242</v>
      </c>
      <c r="D62" s="34"/>
      <c r="E62" s="34"/>
      <c r="F62" s="34"/>
      <c r="G62" s="34"/>
      <c r="H62" s="59"/>
      <c r="J62" s="173"/>
      <c r="K62" s="173"/>
      <c r="L62" s="173"/>
      <c r="M62" s="41"/>
      <c r="N62" s="41"/>
      <c r="O62" s="265"/>
      <c r="Q62" s="47"/>
      <c r="R62" s="102"/>
      <c r="S62" s="102"/>
      <c r="T62" s="36"/>
      <c r="U62" s="36"/>
      <c r="V62" s="181"/>
      <c r="W62" s="181"/>
      <c r="X62" s="61"/>
      <c r="Y62" s="36"/>
      <c r="Z62" s="61"/>
      <c r="AA62" s="182"/>
      <c r="AB62" s="61"/>
      <c r="AC62" s="61"/>
      <c r="AD62" s="61"/>
      <c r="AE62" s="61"/>
      <c r="AF62" s="182"/>
      <c r="AG62" s="61"/>
      <c r="AH62" s="36"/>
      <c r="AI62" s="36"/>
      <c r="AJ62" s="36"/>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15.5" x14ac:dyDescent="0.3">
      <c r="B63" s="45" t="s">
        <v>514</v>
      </c>
      <c r="C63" s="162"/>
      <c r="D63" s="84" t="s">
        <v>5</v>
      </c>
      <c r="G63" s="34"/>
      <c r="H63" s="84"/>
      <c r="J63" s="53"/>
      <c r="K63" s="34"/>
      <c r="L63" s="34"/>
      <c r="M63" s="84"/>
      <c r="N63" s="84"/>
      <c r="O63" s="100"/>
      <c r="P63" s="53"/>
      <c r="Q63" s="52"/>
      <c r="R63" s="36"/>
      <c r="S63" s="36"/>
      <c r="T63" s="36"/>
      <c r="U63" s="36"/>
      <c r="V63" s="36"/>
      <c r="W63" s="36"/>
      <c r="X63" s="36"/>
      <c r="Y63" s="36"/>
      <c r="Z63" s="36"/>
      <c r="AA63" s="36"/>
      <c r="AB63" s="36"/>
      <c r="AC63" s="36"/>
      <c r="AD63" s="36"/>
      <c r="AE63" s="36"/>
      <c r="AF63" s="36"/>
      <c r="AG63" s="36"/>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5" x14ac:dyDescent="0.3">
      <c r="B64" s="155" t="s">
        <v>459</v>
      </c>
      <c r="C64" s="34"/>
      <c r="D64" s="84"/>
      <c r="G64" s="34"/>
      <c r="H64" s="84"/>
      <c r="J64" s="33"/>
      <c r="K64" s="38" t="s">
        <v>329</v>
      </c>
      <c r="L64" s="38" t="s">
        <v>201</v>
      </c>
      <c r="M64" s="84"/>
      <c r="N64" s="84"/>
      <c r="O64" s="100"/>
      <c r="P64" s="34"/>
      <c r="Q64" s="35"/>
      <c r="R64" s="61" t="s">
        <v>350</v>
      </c>
      <c r="S64" s="36"/>
      <c r="T64" s="36" t="s">
        <v>446</v>
      </c>
      <c r="U64" s="36" t="s">
        <v>445</v>
      </c>
      <c r="V64" s="36" t="s">
        <v>443</v>
      </c>
      <c r="W64" s="36" t="s">
        <v>444</v>
      </c>
      <c r="X64" s="36" t="s">
        <v>447</v>
      </c>
      <c r="Y64" s="36" t="s">
        <v>449</v>
      </c>
      <c r="Z64" s="36" t="s">
        <v>448</v>
      </c>
      <c r="AA64" s="36" t="s">
        <v>202</v>
      </c>
      <c r="AB64" s="36" t="s">
        <v>380</v>
      </c>
      <c r="AC64" s="36" t="s">
        <v>450</v>
      </c>
      <c r="AD64" s="36" t="s">
        <v>381</v>
      </c>
      <c r="AE64" s="36" t="s">
        <v>451</v>
      </c>
      <c r="AF64" s="36" t="s">
        <v>452</v>
      </c>
      <c r="AG64" s="36" t="s">
        <v>638</v>
      </c>
      <c r="AH64" s="36" t="s">
        <v>206</v>
      </c>
      <c r="AI64" s="36" t="s">
        <v>278</v>
      </c>
      <c r="AJ64" s="36" t="s">
        <v>207</v>
      </c>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46.5" x14ac:dyDescent="0.3">
      <c r="B65" s="170" t="s">
        <v>513</v>
      </c>
      <c r="C65" s="161"/>
      <c r="D65" s="89" t="s">
        <v>175</v>
      </c>
      <c r="E65" s="176"/>
      <c r="F65" s="57"/>
      <c r="G65" s="161"/>
      <c r="H65" s="84" t="str">
        <f>IF(D65="t","t/t","t/m3")</f>
        <v>t/m3</v>
      </c>
      <c r="J65" s="173" t="s">
        <v>441</v>
      </c>
      <c r="K65" s="96">
        <f>IF(ISNUMBER(L65),L65,IF(OR(C66=Pudotusvalikot!$D$14,C66=Pudotusvalikot!$D$15),Kalusto!$G$96,VLOOKUP(C66,Kalusto!$C$44:$G$83,5,FALSE))*IF(OR(C67=Pudotusvalikot!$V$3,C67=Pudotusvalikot!$V$4),Muut!$E$38,IF(C67=Pudotusvalikot!$V$5,Muut!$E$39,IF(C67=Pudotusvalikot!$V$6,Muut!$E$40,Muut!$E$41))))</f>
        <v>6.1090000000000005E-2</v>
      </c>
      <c r="L65" s="40"/>
      <c r="M65" s="41" t="s">
        <v>200</v>
      </c>
      <c r="N65" s="41"/>
      <c r="O65" s="265"/>
      <c r="Q65" s="47"/>
      <c r="R65" s="50" t="str">
        <f ca="1">IF(AND(NOT(ISNUMBER(AB65)),NOT(ISNUMBER(AG65))),"",IF(ISNUMBER(AB65),AB65,0)+IF(ISNUMBER(AG65),AG65,0))</f>
        <v/>
      </c>
      <c r="S65" s="102" t="s">
        <v>172</v>
      </c>
      <c r="T65" s="48" t="str">
        <f>IF(ISNUMBER(L65),"Kohdetieto",IF(OR(C66=Pudotusvalikot!$D$14,C66=Pudotusvalikot!$D$15),Kalusto!$I$96,VLOOKUP(C66,Kalusto!$C$44:$L$83,7,FALSE)))</f>
        <v>Maansiirtoauto</v>
      </c>
      <c r="U65" s="48">
        <f>IF(ISNUMBER(L65),"Kohdetieto",IF(OR(C66=Pudotusvalikot!$D$14,C66=Pudotusvalikot!$D$15),Kalusto!$J$96,VLOOKUP(C66,Kalusto!$C$44:$L$83,8,FALSE)))</f>
        <v>32</v>
      </c>
      <c r="V65" s="49">
        <f>IF(ISNUMBER(L65),"Kohdetieto",IF(OR(C66=Pudotusvalikot!$D$14,C66=Pudotusvalikot!$D$15),Kalusto!$K$96,VLOOKUP(C66,Kalusto!$C$44:$L$83,9,FALSE)))</f>
        <v>0.8</v>
      </c>
      <c r="W65" s="49" t="str">
        <f>IF(ISNUMBER(L65),"Kohdetieto",IF(OR(C66=Pudotusvalikot!$D$14,C66=Pudotusvalikot!$D$15),Kalusto!$L$96,VLOOKUP(C66,Kalusto!$C$44:$L$83,10,FALSE)))</f>
        <v>maantieajo</v>
      </c>
      <c r="X65" s="50" t="str">
        <f>IF(ISBLANK(C65),"",IF(D65="t",C65,C65*G65))</f>
        <v/>
      </c>
      <c r="Y65" s="48" t="str">
        <f>IF(ISNUMBER(C68),C68,"")</f>
        <v/>
      </c>
      <c r="Z65" s="50" t="str">
        <f>IF(ISNUMBER(X65/(U65*V65)*Y65),X65/(U65*V65)*Y65,"")</f>
        <v/>
      </c>
      <c r="AA65" s="51">
        <f>IF(ISNUMBER(L65),L65,K65)</f>
        <v>6.1090000000000005E-2</v>
      </c>
      <c r="AB65" s="50" t="str">
        <f>IF(ISNUMBER(Y65*X65*K65),Y65*X65*K65,"")</f>
        <v/>
      </c>
      <c r="AC65" s="50" t="str">
        <f>IF(C80="Kyllä",Y65,"")</f>
        <v/>
      </c>
      <c r="AD65" s="50" t="str">
        <f>IF(C80="Kyllä",IF(ISNUMBER(X65/(U65*V65)),X65/(U65*V65),""),"")</f>
        <v/>
      </c>
      <c r="AE65" s="50" t="str">
        <f>IF(ISNUMBER(AD65*AC65),AD65*AC65,"")</f>
        <v/>
      </c>
      <c r="AF65" s="51">
        <f ca="1">IF(ISNUMBER(L66),L66,K66)</f>
        <v>0.71940999999999999</v>
      </c>
      <c r="AG65" s="50" t="str">
        <f ca="1">IF(ISNUMBER(AC65*AD65*K66),AC65*AD65*K66,"")</f>
        <v/>
      </c>
      <c r="AH65" s="48">
        <f>IF(T65="Jakelukuorma-auto",0,IF(T65="Maansiirtoauto",4,IF(T65="Puoliperävaunu",6,8)))</f>
        <v>4</v>
      </c>
      <c r="AI65" s="48">
        <f>IF(AND(T65="Jakelukuorma-auto",U65=6),0,IF(AND(T65="Jakelukuorma-auto",U65=15),2,0))</f>
        <v>0</v>
      </c>
      <c r="AJ65" s="48">
        <f>IF(W65="maantieajo",0,1)</f>
        <v>0</v>
      </c>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31" x14ac:dyDescent="0.3">
      <c r="B66" s="170" t="s">
        <v>512</v>
      </c>
      <c r="C66" s="392" t="s">
        <v>84</v>
      </c>
      <c r="D66" s="393"/>
      <c r="E66" s="393"/>
      <c r="F66" s="393"/>
      <c r="G66" s="394"/>
      <c r="H66" s="84"/>
      <c r="J66" s="33" t="s">
        <v>442</v>
      </c>
      <c r="K66" s="96">
        <f ca="1">IF(ISNUMBER(L66),L66,IF($C$108="Ei","",IF(AND($C$108="Kyllä",OR(C66=Pudotusvalikot!$D$14,C66=Pudotusvalikot!$D$15)),Kalusto!$G$97,OFFSET(Kalusto!$G$85,AH65+AJ65+AI65,0,1,1)))*IF(OR(C67=Pudotusvalikot!$V$3,C67=Pudotusvalikot!$V$4),Muut!$E$38,IF(C67=Pudotusvalikot!$V$5,Muut!$E$39,IF(C67=Pudotusvalikot!$V$6,Muut!$E$40,Muut!$E$41))))</f>
        <v>0.71940999999999999</v>
      </c>
      <c r="L66" s="40"/>
      <c r="M66" s="41" t="s">
        <v>204</v>
      </c>
      <c r="N66" s="41"/>
      <c r="O66" s="265"/>
      <c r="P66" s="34"/>
      <c r="Q66" s="52"/>
      <c r="R66" s="36"/>
      <c r="S66" s="36"/>
      <c r="T66" s="36"/>
      <c r="U66" s="36"/>
      <c r="V66" s="36"/>
      <c r="W66" s="36"/>
      <c r="X66" s="36"/>
      <c r="Y66" s="36"/>
      <c r="Z66" s="36"/>
      <c r="AA66" s="36"/>
      <c r="AB66" s="36"/>
      <c r="AC66" s="36"/>
      <c r="AD66" s="36"/>
      <c r="AE66" s="36"/>
      <c r="AF66" s="36"/>
      <c r="AG66" s="36"/>
      <c r="AH66" s="36"/>
      <c r="AI66" s="36"/>
      <c r="AJ66" s="36"/>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15.5" x14ac:dyDescent="0.3">
      <c r="B67" s="186" t="s">
        <v>506</v>
      </c>
      <c r="C67" s="160" t="s">
        <v>242</v>
      </c>
      <c r="D67" s="34"/>
      <c r="E67" s="34"/>
      <c r="F67" s="34"/>
      <c r="G67" s="34"/>
      <c r="H67" s="59"/>
      <c r="J67" s="173"/>
      <c r="K67" s="173"/>
      <c r="L67" s="173"/>
      <c r="M67" s="41"/>
      <c r="N67" s="41"/>
      <c r="O67" s="265"/>
      <c r="Q67" s="47"/>
      <c r="R67" s="102"/>
      <c r="S67" s="102"/>
      <c r="T67" s="36"/>
      <c r="U67" s="36"/>
      <c r="V67" s="181"/>
      <c r="W67" s="181"/>
      <c r="X67" s="61"/>
      <c r="Y67" s="36"/>
      <c r="Z67" s="61"/>
      <c r="AA67" s="182"/>
      <c r="AB67" s="61"/>
      <c r="AC67" s="61"/>
      <c r="AD67" s="61"/>
      <c r="AE67" s="61"/>
      <c r="AF67" s="182"/>
      <c r="AG67" s="61"/>
      <c r="AH67" s="36"/>
      <c r="AI67" s="36"/>
      <c r="AJ67" s="36"/>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15.5" x14ac:dyDescent="0.3">
      <c r="B68" s="45" t="s">
        <v>514</v>
      </c>
      <c r="C68" s="162"/>
      <c r="D68" s="84" t="s">
        <v>5</v>
      </c>
      <c r="G68" s="34"/>
      <c r="H68" s="84"/>
      <c r="J68" s="53"/>
      <c r="K68" s="34"/>
      <c r="L68" s="34"/>
      <c r="M68" s="84"/>
      <c r="N68" s="84"/>
      <c r="O68" s="100"/>
      <c r="P68" s="53"/>
      <c r="Q68" s="52"/>
      <c r="R68" s="36"/>
      <c r="S68" s="36"/>
      <c r="T68" s="36"/>
      <c r="U68" s="36"/>
      <c r="V68" s="36"/>
      <c r="W68" s="36"/>
      <c r="X68" s="36"/>
      <c r="Y68" s="36"/>
      <c r="Z68" s="36"/>
      <c r="AA68" s="36"/>
      <c r="AB68" s="36"/>
      <c r="AC68" s="36"/>
      <c r="AD68" s="36"/>
      <c r="AE68" s="36"/>
      <c r="AF68" s="36"/>
      <c r="AG68" s="36"/>
      <c r="AH68" s="36"/>
      <c r="AI68" s="36"/>
      <c r="AJ68" s="36"/>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5" x14ac:dyDescent="0.3">
      <c r="B69" s="155" t="s">
        <v>460</v>
      </c>
      <c r="C69" s="34"/>
      <c r="D69" s="84"/>
      <c r="G69" s="34"/>
      <c r="H69" s="84"/>
      <c r="J69" s="33"/>
      <c r="K69" s="38" t="s">
        <v>329</v>
      </c>
      <c r="L69" s="38" t="s">
        <v>201</v>
      </c>
      <c r="M69" s="84"/>
      <c r="N69" s="84"/>
      <c r="O69" s="100"/>
      <c r="P69" s="34"/>
      <c r="Q69" s="35"/>
      <c r="R69" s="61" t="s">
        <v>350</v>
      </c>
      <c r="S69" s="36"/>
      <c r="T69" s="36" t="s">
        <v>446</v>
      </c>
      <c r="U69" s="36" t="s">
        <v>445</v>
      </c>
      <c r="V69" s="36" t="s">
        <v>443</v>
      </c>
      <c r="W69" s="36" t="s">
        <v>444</v>
      </c>
      <c r="X69" s="36" t="s">
        <v>447</v>
      </c>
      <c r="Y69" s="36" t="s">
        <v>449</v>
      </c>
      <c r="Z69" s="36" t="s">
        <v>448</v>
      </c>
      <c r="AA69" s="36" t="s">
        <v>202</v>
      </c>
      <c r="AB69" s="36" t="s">
        <v>380</v>
      </c>
      <c r="AC69" s="36" t="s">
        <v>450</v>
      </c>
      <c r="AD69" s="36" t="s">
        <v>381</v>
      </c>
      <c r="AE69" s="36" t="s">
        <v>451</v>
      </c>
      <c r="AF69" s="36" t="s">
        <v>452</v>
      </c>
      <c r="AG69" s="36" t="s">
        <v>638</v>
      </c>
      <c r="AH69" s="36" t="s">
        <v>206</v>
      </c>
      <c r="AI69" s="36" t="s">
        <v>278</v>
      </c>
      <c r="AJ69" s="36" t="s">
        <v>207</v>
      </c>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46.5" x14ac:dyDescent="0.3">
      <c r="B70" s="170" t="s">
        <v>513</v>
      </c>
      <c r="C70" s="161"/>
      <c r="D70" s="89" t="s">
        <v>175</v>
      </c>
      <c r="E70" s="34"/>
      <c r="F70" s="57"/>
      <c r="G70" s="161"/>
      <c r="H70" s="84" t="str">
        <f>IF(D70="t","t/t","t/m3")</f>
        <v>t/m3</v>
      </c>
      <c r="J70" s="173" t="s">
        <v>441</v>
      </c>
      <c r="K70" s="96">
        <f>IF(ISNUMBER(L70),L70,IF(OR(C71=Pudotusvalikot!$D$14,C71=Pudotusvalikot!$D$15),Kalusto!$G$96,VLOOKUP(C71,Kalusto!$C$44:$G$83,5,FALSE))*IF(OR(C72=Pudotusvalikot!$V$3,C72=Pudotusvalikot!$V$4),Muut!$E$38,IF(C72=Pudotusvalikot!$V$5,Muut!$E$39,IF(C72=Pudotusvalikot!$V$6,Muut!$E$40,Muut!$E$41))))</f>
        <v>6.1090000000000005E-2</v>
      </c>
      <c r="L70" s="40"/>
      <c r="M70" s="41" t="s">
        <v>200</v>
      </c>
      <c r="N70" s="41"/>
      <c r="O70" s="265"/>
      <c r="Q70" s="47"/>
      <c r="R70" s="50" t="str">
        <f ca="1">IF(AND(NOT(ISNUMBER(AB70)),NOT(ISNUMBER(AG70))),"",IF(ISNUMBER(AB70),AB70,0)+IF(ISNUMBER(AG70),AG70,0))</f>
        <v/>
      </c>
      <c r="S70" s="102" t="s">
        <v>172</v>
      </c>
      <c r="T70" s="48" t="str">
        <f>IF(ISNUMBER(L70),"Kohdetieto",IF(OR(C71=Pudotusvalikot!$D$14,C71=Pudotusvalikot!$D$15),Kalusto!$I$96,VLOOKUP(C71,Kalusto!$C$44:$L$83,7,FALSE)))</f>
        <v>Maansiirtoauto</v>
      </c>
      <c r="U70" s="48">
        <f>IF(ISNUMBER(L70),"Kohdetieto",IF(OR(C71=Pudotusvalikot!$D$14,C71=Pudotusvalikot!$D$15),Kalusto!$J$96,VLOOKUP(C71,Kalusto!$C$44:$L$83,8,FALSE)))</f>
        <v>32</v>
      </c>
      <c r="V70" s="49">
        <f>IF(ISNUMBER(L70),"Kohdetieto",IF(OR(C71=Pudotusvalikot!$D$14,C71=Pudotusvalikot!$D$15),Kalusto!$K$96,VLOOKUP(C71,Kalusto!$C$44:$L$83,9,FALSE)))</f>
        <v>0.8</v>
      </c>
      <c r="W70" s="49" t="str">
        <f>IF(ISNUMBER(L70),"Kohdetieto",IF(OR(C71=Pudotusvalikot!$D$14,C71=Pudotusvalikot!$D$15),Kalusto!$L$96,VLOOKUP(C71,Kalusto!$C$44:$L$83,10,FALSE)))</f>
        <v>maantieajo</v>
      </c>
      <c r="X70" s="50" t="str">
        <f>IF(ISBLANK(C70),"",IF(D70="t",C70,C70*G70))</f>
        <v/>
      </c>
      <c r="Y70" s="48" t="str">
        <f>IF(ISNUMBER(C73),C73,"")</f>
        <v/>
      </c>
      <c r="Z70" s="50" t="str">
        <f>IF(ISNUMBER(X70/(U70*V70)*Y70),X70/(U70*V70)*Y70,"")</f>
        <v/>
      </c>
      <c r="AA70" s="51">
        <f>IF(ISNUMBER(L70),L70,K70)</f>
        <v>6.1090000000000005E-2</v>
      </c>
      <c r="AB70" s="50" t="str">
        <f>IF(ISNUMBER(Y70*X70*K70),Y70*X70*K70,"")</f>
        <v/>
      </c>
      <c r="AC70" s="50" t="str">
        <f>IF(C80="Kyllä",Y70,"")</f>
        <v/>
      </c>
      <c r="AD70" s="50" t="str">
        <f>IF(C80="Kyllä",IF(ISNUMBER(X70/(U70*V70)),X70/(U70*V70),""),"")</f>
        <v/>
      </c>
      <c r="AE70" s="50" t="str">
        <f>IF(ISNUMBER(AD70*AC70),AD70*AC70,"")</f>
        <v/>
      </c>
      <c r="AF70" s="51">
        <f ca="1">IF(ISNUMBER(L71),L71,K71)</f>
        <v>0.71940999999999999</v>
      </c>
      <c r="AG70" s="50" t="str">
        <f ca="1">IF(ISNUMBER(AC70*AD70*K71),AC70*AD70*K71,"")</f>
        <v/>
      </c>
      <c r="AH70" s="48">
        <f>IF(T70="Jakelukuorma-auto",0,IF(T70="Maansiirtoauto",4,IF(T70="Puoliperävaunu",6,8)))</f>
        <v>4</v>
      </c>
      <c r="AI70" s="48">
        <f>IF(AND(T70="Jakelukuorma-auto",U70=6),0,IF(AND(T70="Jakelukuorma-auto",U70=15),2,0))</f>
        <v>0</v>
      </c>
      <c r="AJ70" s="48">
        <f>IF(W70="maantieajo",0,1)</f>
        <v>0</v>
      </c>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31" x14ac:dyDescent="0.3">
      <c r="B71" s="170" t="s">
        <v>512</v>
      </c>
      <c r="C71" s="392" t="s">
        <v>84</v>
      </c>
      <c r="D71" s="393"/>
      <c r="E71" s="393"/>
      <c r="F71" s="393"/>
      <c r="G71" s="394"/>
      <c r="H71" s="84"/>
      <c r="J71" s="33" t="s">
        <v>442</v>
      </c>
      <c r="K71" s="96">
        <f ca="1">IF(ISNUMBER(L71),L71,IF($C$108="Ei","",IF(AND($C$108="Kyllä",OR(C71=Pudotusvalikot!$D$14,C71=Pudotusvalikot!$D$15)),Kalusto!$G$97,OFFSET(Kalusto!$G$85,AH70+AJ70+AI70,0,1,1)))*IF(OR(C72=Pudotusvalikot!$V$3,C72=Pudotusvalikot!$V$4),Muut!$E$38,IF(C72=Pudotusvalikot!$V$5,Muut!$E$39,IF(C72=Pudotusvalikot!$V$6,Muut!$E$40,Muut!$E$41))))</f>
        <v>0.71940999999999999</v>
      </c>
      <c r="L71" s="40"/>
      <c r="M71" s="41" t="s">
        <v>204</v>
      </c>
      <c r="N71" s="41"/>
      <c r="O71" s="265"/>
      <c r="P71" s="34"/>
      <c r="Q71" s="52"/>
      <c r="R71" s="36"/>
      <c r="S71" s="36"/>
      <c r="T71" s="36"/>
      <c r="U71" s="36"/>
      <c r="V71" s="36"/>
      <c r="W71" s="36"/>
      <c r="X71" s="36"/>
      <c r="Y71" s="36"/>
      <c r="Z71" s="36"/>
      <c r="AA71" s="36"/>
      <c r="AB71" s="36"/>
      <c r="AC71" s="36"/>
      <c r="AD71" s="36"/>
      <c r="AE71" s="36"/>
      <c r="AF71" s="36"/>
      <c r="AG71" s="36"/>
      <c r="AH71" s="36"/>
      <c r="AI71" s="36"/>
      <c r="AJ71" s="36"/>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15.5" x14ac:dyDescent="0.3">
      <c r="B72" s="186" t="s">
        <v>506</v>
      </c>
      <c r="C72" s="160" t="s">
        <v>242</v>
      </c>
      <c r="D72" s="34"/>
      <c r="E72" s="34"/>
      <c r="F72" s="34"/>
      <c r="G72" s="34"/>
      <c r="H72" s="59"/>
      <c r="J72" s="173"/>
      <c r="K72" s="173"/>
      <c r="L72" s="173"/>
      <c r="M72" s="41"/>
      <c r="N72" s="41"/>
      <c r="O72" s="265"/>
      <c r="Q72" s="47"/>
      <c r="R72" s="102"/>
      <c r="S72" s="102"/>
      <c r="T72" s="36"/>
      <c r="U72" s="36"/>
      <c r="V72" s="181"/>
      <c r="W72" s="181"/>
      <c r="X72" s="61"/>
      <c r="Y72" s="36"/>
      <c r="Z72" s="61"/>
      <c r="AA72" s="182"/>
      <c r="AB72" s="61"/>
      <c r="AC72" s="61"/>
      <c r="AD72" s="61"/>
      <c r="AE72" s="61"/>
      <c r="AF72" s="182"/>
      <c r="AG72" s="61"/>
      <c r="AH72" s="36"/>
      <c r="AI72" s="36"/>
      <c r="AJ72" s="36"/>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15.5" x14ac:dyDescent="0.3">
      <c r="B73" s="45" t="s">
        <v>514</v>
      </c>
      <c r="C73" s="162"/>
      <c r="D73" s="90" t="s">
        <v>176</v>
      </c>
      <c r="E73" s="58"/>
      <c r="F73" s="58"/>
      <c r="G73" s="34"/>
      <c r="H73" s="84"/>
      <c r="J73" s="53"/>
      <c r="K73" s="34"/>
      <c r="L73" s="34"/>
      <c r="M73" s="84"/>
      <c r="N73" s="84"/>
      <c r="O73" s="100"/>
      <c r="P73" s="53"/>
      <c r="Q73" s="52"/>
      <c r="R73" s="36"/>
      <c r="S73" s="36"/>
      <c r="T73" s="36"/>
      <c r="U73" s="36"/>
      <c r="V73" s="36"/>
      <c r="W73" s="36"/>
      <c r="X73" s="36"/>
      <c r="Y73" s="36"/>
      <c r="Z73" s="36"/>
      <c r="AA73" s="36"/>
      <c r="AB73" s="36"/>
      <c r="AC73" s="36"/>
      <c r="AD73" s="36"/>
      <c r="AE73" s="36"/>
      <c r="AF73" s="36"/>
      <c r="AG73" s="36"/>
      <c r="AH73" s="36"/>
      <c r="AI73" s="36"/>
      <c r="AJ73" s="36"/>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5" x14ac:dyDescent="0.3">
      <c r="B74" s="155" t="s">
        <v>334</v>
      </c>
      <c r="C74" s="34"/>
      <c r="D74" s="84"/>
      <c r="G74" s="34"/>
      <c r="H74" s="84"/>
      <c r="J74" s="33"/>
      <c r="K74" s="38" t="s">
        <v>329</v>
      </c>
      <c r="L74" s="38" t="s">
        <v>201</v>
      </c>
      <c r="M74" s="84"/>
      <c r="N74" s="84"/>
      <c r="O74" s="100"/>
      <c r="P74" s="34"/>
      <c r="Q74" s="35"/>
      <c r="R74" s="61" t="s">
        <v>350</v>
      </c>
      <c r="S74" s="36"/>
      <c r="T74" s="36" t="s">
        <v>446</v>
      </c>
      <c r="U74" s="36" t="s">
        <v>445</v>
      </c>
      <c r="V74" s="36" t="s">
        <v>443</v>
      </c>
      <c r="W74" s="36" t="s">
        <v>444</v>
      </c>
      <c r="X74" s="36" t="s">
        <v>447</v>
      </c>
      <c r="Y74" s="36" t="s">
        <v>449</v>
      </c>
      <c r="Z74" s="36" t="s">
        <v>448</v>
      </c>
      <c r="AA74" s="36" t="s">
        <v>202</v>
      </c>
      <c r="AB74" s="36" t="s">
        <v>380</v>
      </c>
      <c r="AC74" s="36" t="s">
        <v>450</v>
      </c>
      <c r="AD74" s="36" t="s">
        <v>381</v>
      </c>
      <c r="AE74" s="36" t="s">
        <v>451</v>
      </c>
      <c r="AF74" s="36" t="s">
        <v>452</v>
      </c>
      <c r="AG74" s="36" t="s">
        <v>638</v>
      </c>
      <c r="AH74" s="36" t="s">
        <v>206</v>
      </c>
      <c r="AI74" s="36" t="s">
        <v>278</v>
      </c>
      <c r="AJ74" s="36" t="s">
        <v>207</v>
      </c>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46.5" x14ac:dyDescent="0.3">
      <c r="B75" s="170" t="s">
        <v>513</v>
      </c>
      <c r="C75" s="161"/>
      <c r="D75" s="89" t="s">
        <v>175</v>
      </c>
      <c r="E75" s="34"/>
      <c r="F75" s="57"/>
      <c r="G75" s="161"/>
      <c r="H75" s="84" t="str">
        <f>IF(D75="t","t/t","t/m3")</f>
        <v>t/m3</v>
      </c>
      <c r="J75" s="173" t="s">
        <v>441</v>
      </c>
      <c r="K75" s="96">
        <f>IF(ISNUMBER(L75),L75,IF(OR(C76=Pudotusvalikot!$D$14,C76=Pudotusvalikot!$D$15),Kalusto!$G$96,VLOOKUP(C76,Kalusto!$C$44:$G$83,5,FALSE))*IF(OR(C77=Pudotusvalikot!$V$3,C77=Pudotusvalikot!$V$4),Muut!$E$38,IF(C77=Pudotusvalikot!$V$5,Muut!$E$39,IF(C77=Pudotusvalikot!$V$6,Muut!$E$40,Muut!$E$41))))</f>
        <v>5.7709999999999997E-2</v>
      </c>
      <c r="L75" s="40"/>
      <c r="M75" s="41" t="s">
        <v>200</v>
      </c>
      <c r="N75" s="41"/>
      <c r="O75" s="265"/>
      <c r="Q75" s="47"/>
      <c r="R75" s="50" t="str">
        <f ca="1">IF(AND(NOT(ISNUMBER(AB75)),NOT(ISNUMBER(AG75))),"",IF(ISNUMBER(AB75),AB75,0)+IF(ISNUMBER(AG75),AG75,0))</f>
        <v/>
      </c>
      <c r="S75" s="102" t="s">
        <v>172</v>
      </c>
      <c r="T75" s="48" t="str">
        <f>IF(ISNUMBER(L75),"Kohdetieto",IF(OR(C76=Pudotusvalikot!$D$14,C76=Pudotusvalikot!$D$15),Kalusto!$I$96,VLOOKUP(C76,Kalusto!$C$44:$L$83,7,FALSE)))</f>
        <v>Maansiirtoauto</v>
      </c>
      <c r="U75" s="48">
        <f>IF(ISNUMBER(L75),"Kohdetieto",IF(OR(C76=Pudotusvalikot!$D$14,C76=Pudotusvalikot!$D$15),Kalusto!$J$96,VLOOKUP(C76,Kalusto!$C$44:$L$83,8,FALSE)))</f>
        <v>32</v>
      </c>
      <c r="V75" s="49">
        <f>IF(ISNUMBER(L75),"Kohdetieto",IF(OR(C76=Pudotusvalikot!$D$14,C76=Pudotusvalikot!$D$15),Kalusto!$K$96,VLOOKUP(C76,Kalusto!$C$44:$L$83,9,FALSE)))</f>
        <v>0.8</v>
      </c>
      <c r="W75" s="49" t="str">
        <f>IF(ISNUMBER(L75),"Kohdetieto",IF(OR(C76=Pudotusvalikot!$D$14,C76=Pudotusvalikot!$D$15),Kalusto!$L$96,VLOOKUP(C76,Kalusto!$C$44:$L$83,10,FALSE)))</f>
        <v>maantieajo</v>
      </c>
      <c r="X75" s="50" t="str">
        <f>IF(ISBLANK(C75),"",IF(D75="t",C75,C75*G75))</f>
        <v/>
      </c>
      <c r="Y75" s="48" t="str">
        <f>IF(ISNUMBER(C78),C78,"")</f>
        <v/>
      </c>
      <c r="Z75" s="50" t="str">
        <f>IF(ISNUMBER(X75/(U75*V75)*Y75),X75/(U75*V75)*Y75,"")</f>
        <v/>
      </c>
      <c r="AA75" s="51">
        <f>IF(ISNUMBER(L75),L75,K75)</f>
        <v>5.7709999999999997E-2</v>
      </c>
      <c r="AB75" s="50" t="str">
        <f>IF(ISNUMBER(Y75*X75*K75),Y75*X75*K75,"")</f>
        <v/>
      </c>
      <c r="AC75" s="50" t="str">
        <f>IF(C80="Kyllä",Y75,"")</f>
        <v/>
      </c>
      <c r="AD75" s="50" t="str">
        <f>IF(C80="Kyllä",IF(ISNUMBER(X75/(U75*V75)),X75/(U75*V75),""),"")</f>
        <v/>
      </c>
      <c r="AE75" s="50" t="str">
        <f>IF(ISNUMBER(AD75*AC75),AD75*AC75,"")</f>
        <v/>
      </c>
      <c r="AF75" s="51">
        <f ca="1">IF(ISNUMBER(L76),L76,K76)</f>
        <v>0.71940999999999999</v>
      </c>
      <c r="AG75" s="50" t="str">
        <f ca="1">IF(ISNUMBER(AC75*AD75*K76),AC75*AD75*K76,"")</f>
        <v/>
      </c>
      <c r="AH75" s="48">
        <f>IF(T75="Jakelukuorma-auto",0,IF(T75="Maansiirtoauto",4,IF(T75="Puoliperävaunu",6,8)))</f>
        <v>4</v>
      </c>
      <c r="AI75" s="48">
        <f>IF(AND(T75="Jakelukuorma-auto",U75=6),0,IF(AND(T75="Jakelukuorma-auto",U75=15),2,0))</f>
        <v>0</v>
      </c>
      <c r="AJ75" s="48">
        <f>IF(W75="maantieajo",0,1)</f>
        <v>0</v>
      </c>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31" x14ac:dyDescent="0.3">
      <c r="B76" s="170" t="s">
        <v>512</v>
      </c>
      <c r="C76" s="392" t="s">
        <v>330</v>
      </c>
      <c r="D76" s="393"/>
      <c r="E76" s="393"/>
      <c r="F76" s="393"/>
      <c r="G76" s="394"/>
      <c r="H76" s="84"/>
      <c r="J76" s="33" t="s">
        <v>442</v>
      </c>
      <c r="K76" s="96">
        <f ca="1">IF(ISNUMBER(L76),L76,IF($C$108="Ei","",IF(AND($C$108="Kyllä",OR(C76=Pudotusvalikot!$D$14,C76=Pudotusvalikot!$D$15)),Kalusto!$G$97,OFFSET(Kalusto!$G$85,AH75+AJ75+AI75,0,1,1)))*IF(OR(C77=Pudotusvalikot!$V$3,C77=Pudotusvalikot!$V$4),Muut!$E$38,IF(C77=Pudotusvalikot!$V$5,Muut!$E$39,IF(C77=Pudotusvalikot!$V$6,Muut!$E$40,Muut!$E$41))))</f>
        <v>0.71940999999999999</v>
      </c>
      <c r="L76" s="40"/>
      <c r="M76" s="41" t="s">
        <v>204</v>
      </c>
      <c r="N76" s="41"/>
      <c r="O76" s="265"/>
      <c r="P76" s="34"/>
      <c r="Q76" s="52"/>
      <c r="R76" s="99"/>
      <c r="S76" s="36"/>
      <c r="T76" s="36"/>
      <c r="U76" s="36"/>
      <c r="V76" s="36"/>
      <c r="W76" s="36"/>
      <c r="X76" s="36"/>
      <c r="Y76" s="36"/>
      <c r="Z76" s="36"/>
      <c r="AA76" s="36"/>
      <c r="AB76" s="36"/>
      <c r="AC76" s="36"/>
      <c r="AD76" s="36"/>
      <c r="AE76" s="36"/>
      <c r="AF76" s="36"/>
      <c r="AG76" s="36"/>
      <c r="AH76" s="36"/>
      <c r="AI76" s="36"/>
      <c r="AJ76" s="36"/>
      <c r="AK76" s="36"/>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15.5" x14ac:dyDescent="0.3">
      <c r="B77" s="186" t="s">
        <v>506</v>
      </c>
      <c r="C77" s="160" t="s">
        <v>242</v>
      </c>
      <c r="D77" s="34"/>
      <c r="E77" s="34"/>
      <c r="F77" s="34"/>
      <c r="G77" s="34"/>
      <c r="H77" s="59"/>
      <c r="J77" s="173"/>
      <c r="K77" s="173"/>
      <c r="L77" s="173"/>
      <c r="M77" s="41"/>
      <c r="N77" s="41"/>
      <c r="O77" s="265"/>
      <c r="Q77" s="47"/>
      <c r="R77" s="102"/>
      <c r="S77" s="102"/>
      <c r="T77" s="36"/>
      <c r="U77" s="36"/>
      <c r="V77" s="181"/>
      <c r="W77" s="181"/>
      <c r="X77" s="61"/>
      <c r="Y77" s="36"/>
      <c r="Z77" s="61"/>
      <c r="AA77" s="182"/>
      <c r="AB77" s="61"/>
      <c r="AC77" s="61"/>
      <c r="AD77" s="61"/>
      <c r="AE77" s="61"/>
      <c r="AF77" s="182"/>
      <c r="AG77" s="61"/>
      <c r="AH77" s="36"/>
      <c r="AI77" s="36"/>
      <c r="AJ77" s="36"/>
      <c r="AK77" s="108"/>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15.5" x14ac:dyDescent="0.3">
      <c r="B78" s="45" t="s">
        <v>514</v>
      </c>
      <c r="C78" s="162"/>
      <c r="D78" s="84" t="s">
        <v>5</v>
      </c>
      <c r="G78" s="34"/>
      <c r="H78" s="84"/>
      <c r="J78" s="53"/>
      <c r="K78" s="34"/>
      <c r="L78" s="34"/>
      <c r="M78" s="84"/>
      <c r="N78" s="84"/>
      <c r="O78" s="100"/>
      <c r="P78" s="53"/>
      <c r="Q78" s="52"/>
      <c r="R78" s="99"/>
      <c r="S78" s="36"/>
      <c r="T78" s="36"/>
      <c r="U78" s="36"/>
      <c r="V78" s="36"/>
      <c r="W78" s="36"/>
      <c r="X78" s="36"/>
      <c r="Y78" s="36"/>
      <c r="Z78" s="36"/>
      <c r="AA78" s="36"/>
      <c r="AB78" s="36"/>
      <c r="AC78" s="36"/>
      <c r="AD78" s="36"/>
      <c r="AE78" s="36"/>
      <c r="AF78" s="36"/>
      <c r="AG78" s="36"/>
      <c r="AH78" s="36"/>
      <c r="AI78" s="36"/>
      <c r="AJ78" s="36"/>
      <c r="AK78" s="36"/>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5" x14ac:dyDescent="0.3">
      <c r="C79" s="34"/>
      <c r="D79" s="84"/>
      <c r="G79" s="34"/>
      <c r="H79" s="84"/>
      <c r="J79" s="33"/>
      <c r="K79" s="34"/>
      <c r="L79" s="34"/>
      <c r="M79" s="84"/>
      <c r="N79" s="84"/>
      <c r="O79" s="100"/>
      <c r="Q79" s="35"/>
      <c r="R79" s="99"/>
      <c r="S79" s="36"/>
      <c r="T79" s="36"/>
      <c r="U79" s="36"/>
      <c r="V79" s="36"/>
      <c r="W79" s="36"/>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46.5" x14ac:dyDescent="0.3">
      <c r="B80" s="78" t="s">
        <v>668</v>
      </c>
      <c r="C80" s="392" t="s">
        <v>6</v>
      </c>
      <c r="D80" s="394"/>
      <c r="E80" s="34"/>
      <c r="F80" s="58"/>
      <c r="G80" s="34"/>
      <c r="H80" s="84"/>
      <c r="J80" s="33"/>
      <c r="K80" s="34"/>
      <c r="L80" s="34"/>
      <c r="M80" s="84"/>
      <c r="N80" s="84"/>
      <c r="O80" s="100"/>
      <c r="Q80" s="35"/>
      <c r="R80" s="99"/>
      <c r="S80" s="36"/>
      <c r="T80" s="36"/>
      <c r="U80" s="36"/>
      <c r="V80" s="36"/>
      <c r="W80" s="36"/>
      <c r="X80" s="36"/>
      <c r="Y80" s="36"/>
      <c r="Z80" s="36"/>
      <c r="AA80" s="36"/>
      <c r="AB80" s="36"/>
      <c r="AC80" s="36"/>
      <c r="AD80" s="36"/>
      <c r="AE80" s="36"/>
      <c r="AF80" s="36"/>
      <c r="AG80" s="36"/>
      <c r="AH80" s="36"/>
      <c r="AI80" s="36"/>
      <c r="AJ80" s="36"/>
      <c r="AK80" s="36"/>
      <c r="AL80" s="36"/>
      <c r="AM80" s="36"/>
      <c r="AN80" s="37"/>
      <c r="AO80" s="37"/>
      <c r="AP80" s="37"/>
      <c r="AQ80" s="37"/>
      <c r="AR80" s="37"/>
      <c r="AS80" s="37"/>
      <c r="AT80" s="37"/>
      <c r="AU80" s="37"/>
      <c r="AV80" s="37"/>
      <c r="AW80" s="37"/>
      <c r="AX80" s="37"/>
      <c r="AY80" s="37"/>
      <c r="AZ80" s="37"/>
      <c r="BA80" s="37"/>
      <c r="BB80" s="37"/>
      <c r="BC80" s="37"/>
      <c r="BD80" s="37"/>
      <c r="BE80" s="37"/>
    </row>
    <row r="81" spans="2:59" s="31" customFormat="1" ht="15.5" x14ac:dyDescent="0.3">
      <c r="C81" s="34"/>
      <c r="D81" s="84"/>
      <c r="G81" s="34"/>
      <c r="H81" s="84"/>
      <c r="J81" s="33"/>
      <c r="K81" s="34"/>
      <c r="L81" s="34"/>
      <c r="M81" s="84"/>
      <c r="N81" s="84"/>
      <c r="O81" s="84"/>
      <c r="Q81" s="35"/>
      <c r="R81" s="99"/>
      <c r="S81" s="36"/>
      <c r="T81" s="36"/>
      <c r="U81" s="36"/>
      <c r="V81" s="36"/>
      <c r="W81" s="36"/>
      <c r="X81" s="36"/>
      <c r="Y81" s="36"/>
      <c r="Z81" s="36"/>
      <c r="AA81" s="36"/>
      <c r="AB81" s="36"/>
      <c r="AC81" s="36"/>
      <c r="AD81" s="36"/>
      <c r="AE81" s="36"/>
      <c r="AF81" s="36"/>
      <c r="AG81" s="36"/>
      <c r="AH81" s="36"/>
      <c r="AI81" s="36"/>
      <c r="AJ81" s="36"/>
      <c r="AK81" s="36"/>
      <c r="AL81" s="36"/>
      <c r="AM81" s="36"/>
      <c r="AN81" s="37"/>
      <c r="AO81" s="37"/>
      <c r="AP81" s="37"/>
      <c r="AQ81" s="37"/>
      <c r="AR81" s="37"/>
      <c r="AS81" s="37"/>
      <c r="AT81" s="37"/>
      <c r="AU81" s="37"/>
      <c r="AV81" s="37"/>
      <c r="AW81" s="37"/>
      <c r="AX81" s="37"/>
      <c r="AY81" s="37"/>
      <c r="AZ81" s="37"/>
      <c r="BA81" s="37"/>
      <c r="BB81" s="37"/>
      <c r="BC81" s="37"/>
      <c r="BD81" s="37"/>
      <c r="BE81" s="37"/>
    </row>
    <row r="82" spans="2:59" s="298" customFormat="1" ht="18" x14ac:dyDescent="0.3">
      <c r="B82" s="295" t="s">
        <v>353</v>
      </c>
      <c r="C82" s="296"/>
      <c r="D82" s="297"/>
      <c r="G82" s="296"/>
      <c r="H82" s="297"/>
      <c r="K82" s="296"/>
      <c r="L82" s="296"/>
      <c r="M82" s="297"/>
      <c r="N82" s="297"/>
      <c r="O82" s="300"/>
      <c r="P82" s="320"/>
      <c r="Q82" s="304"/>
      <c r="R82" s="298" t="str">
        <f>IF(OR(ISNUMBER(#REF!),ISNUMBER(#REF!),ISNUMBER(#REF!),ISNUMBER(#REF!),ISNUMBER(#REF!)),SUM(#REF!,#REF!,#REF!,#REF!,#REF!),"")</f>
        <v/>
      </c>
      <c r="S82" s="303"/>
      <c r="T82" s="303"/>
      <c r="U82" s="303"/>
      <c r="V82" s="303"/>
      <c r="W82" s="303"/>
      <c r="X82" s="303"/>
      <c r="Y82" s="303"/>
      <c r="Z82" s="303"/>
      <c r="AA82" s="303"/>
      <c r="AB82" s="303"/>
      <c r="AC82" s="303"/>
      <c r="AD82" s="303"/>
      <c r="AE82" s="303"/>
      <c r="AF82" s="303"/>
      <c r="AG82" s="303"/>
      <c r="AH82" s="303"/>
      <c r="AI82" s="303"/>
      <c r="AJ82" s="303"/>
      <c r="AK82" s="303"/>
      <c r="AL82" s="303"/>
      <c r="AM82" s="303"/>
      <c r="AN82" s="304"/>
      <c r="AO82" s="304"/>
      <c r="AP82" s="304"/>
      <c r="AQ82" s="304"/>
      <c r="AR82" s="304"/>
      <c r="AS82" s="304"/>
      <c r="AT82" s="304"/>
      <c r="AU82" s="304"/>
      <c r="AV82" s="304"/>
      <c r="AW82" s="304"/>
      <c r="AX82" s="304"/>
      <c r="AY82" s="304"/>
      <c r="AZ82" s="304"/>
      <c r="BA82" s="304"/>
      <c r="BB82" s="304"/>
      <c r="BC82" s="304"/>
      <c r="BD82" s="304"/>
      <c r="BE82" s="304"/>
    </row>
    <row r="83" spans="2:59" s="31" customFormat="1" ht="15.5" x14ac:dyDescent="0.3">
      <c r="B83" s="9"/>
      <c r="C83" s="34"/>
      <c r="D83" s="84"/>
      <c r="G83" s="38" t="s">
        <v>199</v>
      </c>
      <c r="H83" s="84"/>
      <c r="J83" s="33"/>
      <c r="K83" s="38" t="s">
        <v>329</v>
      </c>
      <c r="L83" s="38" t="s">
        <v>201</v>
      </c>
      <c r="M83" s="84"/>
      <c r="N83" s="84"/>
      <c r="O83" s="255" t="s">
        <v>644</v>
      </c>
      <c r="P83" s="38"/>
      <c r="Q83" s="35"/>
      <c r="R83" s="36" t="s">
        <v>350</v>
      </c>
      <c r="S83" s="36"/>
      <c r="T83" s="36" t="s">
        <v>378</v>
      </c>
      <c r="U83" s="36" t="s">
        <v>164</v>
      </c>
      <c r="V83" s="36" t="s">
        <v>355</v>
      </c>
      <c r="W83" s="108"/>
      <c r="X83" s="36"/>
      <c r="Y83" s="36"/>
      <c r="Z83" s="36"/>
      <c r="AA83" s="36"/>
      <c r="AB83" s="36"/>
      <c r="AC83" s="36"/>
      <c r="AD83" s="36"/>
      <c r="AE83" s="36"/>
      <c r="AF83" s="36"/>
      <c r="AG83" s="36"/>
      <c r="AH83" s="36"/>
      <c r="AI83" s="36"/>
      <c r="AJ83" s="36"/>
      <c r="AK83" s="36"/>
      <c r="AL83" s="36"/>
      <c r="AM83" s="36"/>
      <c r="AN83" s="37"/>
      <c r="AO83" s="37"/>
      <c r="AP83" s="37"/>
      <c r="AQ83" s="37"/>
      <c r="AR83" s="37"/>
      <c r="AS83" s="37"/>
      <c r="AT83" s="37"/>
      <c r="AU83" s="37"/>
      <c r="AV83" s="37"/>
      <c r="AW83" s="37"/>
      <c r="AX83" s="37"/>
      <c r="AY83" s="37"/>
      <c r="AZ83" s="37"/>
      <c r="BA83" s="37"/>
      <c r="BB83" s="37"/>
      <c r="BC83" s="37"/>
      <c r="BD83" s="37"/>
      <c r="BE83" s="37"/>
    </row>
    <row r="84" spans="2:59" s="31" customFormat="1" ht="15.5" x14ac:dyDescent="0.3">
      <c r="B84" s="163" t="s">
        <v>462</v>
      </c>
      <c r="C84" s="160"/>
      <c r="D84" s="92" t="s">
        <v>175</v>
      </c>
      <c r="G84" s="66">
        <v>1.8</v>
      </c>
      <c r="H84" s="84" t="s">
        <v>177</v>
      </c>
      <c r="J84" s="33" t="s">
        <v>354</v>
      </c>
      <c r="K84" s="96">
        <f>IF(ISNUMBER(L84),L84,VLOOKUP(B84,Materiaalit!$C$10:$I$21,5,FALSE))</f>
        <v>6.0000000000000001E-3</v>
      </c>
      <c r="L84" s="40"/>
      <c r="M84" s="41" t="s">
        <v>276</v>
      </c>
      <c r="N84" s="41"/>
      <c r="O84" s="256"/>
      <c r="P84" s="41"/>
      <c r="Q84" s="52"/>
      <c r="R84" s="50" t="str">
        <f>IF(ISNUMBER(K84*V84*1000),K84*V84*1000,"")</f>
        <v/>
      </c>
      <c r="S84" s="102" t="s">
        <v>172</v>
      </c>
      <c r="T84" s="50" t="str">
        <f>IF(ISBLANK(C84),"",IF(D84="t",C84,C84*G84))</f>
        <v/>
      </c>
      <c r="U84" s="48">
        <f>VLOOKUP(B84,Materiaalit!$C$10:$I$21,7,FALSE)</f>
        <v>1.05</v>
      </c>
      <c r="V84" s="50" t="str">
        <f>IF(ISNUMBER(U84*T84),U84*T84,"")</f>
        <v/>
      </c>
      <c r="W84" s="108"/>
      <c r="X84" s="36"/>
      <c r="Y84" s="36"/>
      <c r="Z84" s="36"/>
      <c r="AA84" s="36"/>
      <c r="AB84" s="36"/>
      <c r="AC84" s="36"/>
      <c r="AD84" s="36"/>
      <c r="AE84" s="36"/>
      <c r="AF84" s="36"/>
      <c r="AG84" s="36"/>
      <c r="AH84" s="36"/>
      <c r="AI84" s="36"/>
      <c r="AJ84" s="36"/>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5" x14ac:dyDescent="0.3">
      <c r="B85" s="163" t="s">
        <v>461</v>
      </c>
      <c r="C85" s="160"/>
      <c r="D85" s="89" t="s">
        <v>175</v>
      </c>
      <c r="G85" s="67">
        <f>1/0.6</f>
        <v>1.6666666666666667</v>
      </c>
      <c r="H85" s="84" t="s">
        <v>177</v>
      </c>
      <c r="J85" s="33" t="s">
        <v>354</v>
      </c>
      <c r="K85" s="96">
        <f>IF(ISNUMBER(L85),L85,VLOOKUP(B85,Materiaalit!$C$10:$I$21,5,FALSE))</f>
        <v>6.0000000000000001E-3</v>
      </c>
      <c r="L85" s="40"/>
      <c r="M85" s="41" t="s">
        <v>276</v>
      </c>
      <c r="N85" s="41"/>
      <c r="O85" s="265"/>
      <c r="P85" s="41"/>
      <c r="Q85" s="52"/>
      <c r="R85" s="50" t="str">
        <f>IF(ISNUMBER(K85*V85*1000),K85*V85*1000,"")</f>
        <v/>
      </c>
      <c r="S85" s="102" t="s">
        <v>172</v>
      </c>
      <c r="T85" s="50" t="str">
        <f>IF(ISBLANK(C85),"",IF(D85="t",C85,C85*G85))</f>
        <v/>
      </c>
      <c r="U85" s="48">
        <f>VLOOKUP(B85,Materiaalit!$C$10:$I$21,7,FALSE)</f>
        <v>1.05</v>
      </c>
      <c r="V85" s="50" t="str">
        <f>IF(ISNUMBER(U85*T85),U85*T85,"")</f>
        <v/>
      </c>
      <c r="W85" s="108"/>
      <c r="X85" s="36"/>
      <c r="Y85" s="36"/>
      <c r="Z85" s="36"/>
      <c r="AA85" s="36"/>
      <c r="AB85" s="36"/>
      <c r="AC85" s="36"/>
      <c r="AD85" s="36"/>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5" x14ac:dyDescent="0.3">
      <c r="B86" s="163" t="s">
        <v>463</v>
      </c>
      <c r="C86" s="160"/>
      <c r="D86" s="93" t="s">
        <v>175</v>
      </c>
      <c r="G86" s="67">
        <f>1/0.6</f>
        <v>1.6666666666666667</v>
      </c>
      <c r="H86" s="84" t="s">
        <v>177</v>
      </c>
      <c r="J86" s="33" t="s">
        <v>354</v>
      </c>
      <c r="K86" s="96">
        <f>IF(ISNUMBER(L86),L86,VLOOKUP(B86,Materiaalit!$C$10:$I$21,5,FALSE))</f>
        <v>4.0000000000000001E-3</v>
      </c>
      <c r="L86" s="40"/>
      <c r="M86" s="41" t="s">
        <v>276</v>
      </c>
      <c r="N86" s="41"/>
      <c r="O86" s="265"/>
      <c r="P86" s="41"/>
      <c r="Q86" s="52"/>
      <c r="R86" s="50" t="str">
        <f>IF(ISNUMBER(K86*V86*1000),K86*V86*1000,"")</f>
        <v/>
      </c>
      <c r="S86" s="102" t="s">
        <v>172</v>
      </c>
      <c r="T86" s="50" t="str">
        <f>IF(ISBLANK(C86),"",IF(D86="t",C86,C86*G86))</f>
        <v/>
      </c>
      <c r="U86" s="48">
        <f>VLOOKUP(B86,Materiaalit!$C$10:$I$21,7,FALSE)</f>
        <v>1.05</v>
      </c>
      <c r="V86" s="50" t="str">
        <f>IF(ISNUMBER(U86*T86),U86*T86,"")</f>
        <v/>
      </c>
      <c r="W86" s="108"/>
      <c r="X86" s="36"/>
      <c r="Y86" s="36"/>
      <c r="Z86" s="36"/>
      <c r="AA86" s="36"/>
      <c r="AB86" s="36"/>
      <c r="AC86" s="36"/>
      <c r="AD86" s="36"/>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5" x14ac:dyDescent="0.3">
      <c r="B87" s="163" t="s">
        <v>464</v>
      </c>
      <c r="C87" s="160"/>
      <c r="D87" s="89" t="s">
        <v>175</v>
      </c>
      <c r="G87" s="67">
        <f>1/0.7</f>
        <v>1.4285714285714286</v>
      </c>
      <c r="H87" s="84" t="s">
        <v>177</v>
      </c>
      <c r="J87" s="33" t="s">
        <v>354</v>
      </c>
      <c r="K87" s="96">
        <f>IF(ISNUMBER(L87),L87,VLOOKUP(B87,Materiaalit!$C$10:$I$21,5,FALSE))</f>
        <v>4.0000000000000001E-3</v>
      </c>
      <c r="L87" s="40"/>
      <c r="M87" s="41" t="s">
        <v>276</v>
      </c>
      <c r="N87" s="41"/>
      <c r="O87" s="265"/>
      <c r="P87" s="41"/>
      <c r="Q87" s="52"/>
      <c r="R87" s="50" t="str">
        <f>IF(ISNUMBER(K87*V87*1000),K87*V87*1000,"")</f>
        <v/>
      </c>
      <c r="S87" s="102" t="s">
        <v>172</v>
      </c>
      <c r="T87" s="50" t="str">
        <f>IF(ISBLANK(C87),"",IF(D87="t",C87,C87*G87))</f>
        <v/>
      </c>
      <c r="U87" s="48">
        <f>VLOOKUP(B87,Materiaalit!$C$10:$I$21,7,FALSE)</f>
        <v>1.05</v>
      </c>
      <c r="V87" s="50" t="str">
        <f>IF(ISNUMBER(U87*T87),U87*T87,"")</f>
        <v/>
      </c>
      <c r="W87" s="108"/>
      <c r="X87" s="36"/>
      <c r="Y87" s="36"/>
      <c r="Z87" s="36"/>
      <c r="AA87" s="36"/>
      <c r="AB87" s="36"/>
      <c r="AC87" s="36"/>
      <c r="AD87" s="36"/>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5" x14ac:dyDescent="0.3">
      <c r="B88" s="155" t="s">
        <v>465</v>
      </c>
      <c r="C88" s="160"/>
      <c r="D88" s="89" t="s">
        <v>175</v>
      </c>
      <c r="G88" s="160"/>
      <c r="H88" s="84" t="s">
        <v>177</v>
      </c>
      <c r="J88" s="33" t="s">
        <v>354</v>
      </c>
      <c r="K88" s="96">
        <f>IF(ISNUMBER(L88),L88,Materiaalit!$G$23)</f>
        <v>5.0000000000000001E-3</v>
      </c>
      <c r="L88" s="40"/>
      <c r="M88" s="41" t="s">
        <v>276</v>
      </c>
      <c r="N88" s="41"/>
      <c r="O88" s="265"/>
      <c r="P88" s="41"/>
      <c r="Q88" s="52"/>
      <c r="R88" s="50" t="str">
        <f>IF(ISNUMBER(K88*V88*1000),K88*V88*1000,"")</f>
        <v/>
      </c>
      <c r="S88" s="102" t="s">
        <v>172</v>
      </c>
      <c r="T88" s="50" t="str">
        <f>IF(ISBLANK(C88),"",IF(D88="t",C88,C88*G88))</f>
        <v/>
      </c>
      <c r="U88" s="48">
        <f>Materiaalit!$I$23</f>
        <v>1.05</v>
      </c>
      <c r="V88" s="50" t="str">
        <f>IF(ISNUMBER(U88*T88),U88*T88,"")</f>
        <v/>
      </c>
      <c r="W88" s="108"/>
      <c r="X88" s="36"/>
      <c r="Y88" s="36"/>
      <c r="Z88" s="36"/>
      <c r="AA88" s="36"/>
      <c r="AB88" s="36"/>
      <c r="AC88" s="36"/>
      <c r="AD88" s="36"/>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2:59" s="31" customFormat="1" ht="15.5" x14ac:dyDescent="0.3">
      <c r="C89" s="34"/>
      <c r="D89" s="84"/>
      <c r="G89" s="34"/>
      <c r="H89" s="84"/>
      <c r="J89" s="33"/>
      <c r="K89" s="34"/>
      <c r="L89" s="34"/>
      <c r="M89" s="84"/>
      <c r="N89" s="84"/>
      <c r="O89" s="100"/>
      <c r="Q89" s="35"/>
      <c r="R89" s="99"/>
      <c r="S89" s="36"/>
      <c r="T89" s="36"/>
      <c r="U89" s="36"/>
      <c r="V89" s="36"/>
      <c r="W89" s="36"/>
      <c r="X89" s="36"/>
      <c r="Y89" s="36"/>
      <c r="Z89" s="36"/>
      <c r="AA89" s="36"/>
      <c r="AB89" s="36"/>
      <c r="AC89" s="36"/>
      <c r="AD89" s="36"/>
      <c r="AE89" s="36"/>
      <c r="AF89" s="36"/>
      <c r="AG89" s="36"/>
      <c r="AH89" s="36"/>
      <c r="AI89" s="36"/>
      <c r="AJ89" s="36"/>
      <c r="AK89" s="36"/>
      <c r="AL89" s="36"/>
      <c r="AM89" s="36"/>
      <c r="AN89" s="37"/>
      <c r="AO89" s="37"/>
      <c r="AP89" s="37"/>
      <c r="AQ89" s="37"/>
      <c r="AR89" s="37"/>
      <c r="AS89" s="37"/>
      <c r="AT89" s="37"/>
      <c r="AU89" s="37"/>
      <c r="AV89" s="37"/>
      <c r="AW89" s="37"/>
      <c r="AX89" s="37"/>
      <c r="AY89" s="37"/>
      <c r="AZ89" s="37"/>
      <c r="BA89" s="37"/>
      <c r="BB89" s="37"/>
      <c r="BC89" s="37"/>
      <c r="BD89" s="37"/>
      <c r="BE89" s="37"/>
    </row>
    <row r="90" spans="2:59" s="31" customFormat="1" ht="15.5" x14ac:dyDescent="0.3">
      <c r="B90" s="177" t="s">
        <v>592</v>
      </c>
      <c r="C90" s="34"/>
      <c r="D90" s="84"/>
      <c r="E90" s="59"/>
      <c r="G90" s="34"/>
      <c r="H90" s="84"/>
      <c r="J90" s="33"/>
      <c r="K90" s="42"/>
      <c r="L90" s="42"/>
      <c r="M90" s="41"/>
      <c r="N90" s="41"/>
      <c r="O90" s="265"/>
      <c r="P90" s="41"/>
      <c r="Q90" s="166"/>
      <c r="R90" s="167"/>
      <c r="S90" s="101"/>
      <c r="T90" s="167"/>
      <c r="U90" s="55"/>
      <c r="V90" s="167"/>
      <c r="X90" s="55"/>
      <c r="Y90" s="55"/>
      <c r="Z90" s="55"/>
      <c r="AA90" s="55"/>
      <c r="AB90" s="55"/>
      <c r="AC90" s="55"/>
      <c r="AD90" s="55"/>
      <c r="AE90" s="55"/>
      <c r="AF90" s="55"/>
      <c r="AG90" s="55"/>
      <c r="AH90" s="55"/>
      <c r="AI90" s="55"/>
      <c r="AJ90" s="55"/>
      <c r="AK90" s="55"/>
      <c r="AL90" s="55"/>
      <c r="AM90" s="55"/>
      <c r="AN90" s="56"/>
      <c r="AO90" s="56"/>
      <c r="AP90" s="56"/>
      <c r="AQ90" s="56"/>
      <c r="AR90" s="56"/>
      <c r="AS90" s="56"/>
      <c r="AT90" s="56"/>
      <c r="AU90" s="56"/>
      <c r="AV90" s="56"/>
      <c r="AW90" s="56"/>
      <c r="AX90" s="56"/>
      <c r="AY90" s="56"/>
      <c r="AZ90" s="56"/>
      <c r="BA90" s="56"/>
      <c r="BB90" s="56"/>
      <c r="BC90" s="56"/>
      <c r="BD90" s="56"/>
      <c r="BE90" s="56"/>
    </row>
    <row r="91" spans="2:59" s="31" customFormat="1" ht="15.5" x14ac:dyDescent="0.3">
      <c r="C91" s="34"/>
      <c r="D91" s="84"/>
      <c r="G91" s="34"/>
      <c r="H91" s="84"/>
      <c r="J91" s="33"/>
      <c r="K91" s="34"/>
      <c r="L91" s="34"/>
      <c r="M91" s="84"/>
      <c r="N91" s="84"/>
      <c r="O91" s="84"/>
      <c r="Q91" s="35"/>
      <c r="R91" s="99"/>
      <c r="S91" s="36"/>
      <c r="T91" s="36"/>
      <c r="U91" s="36"/>
      <c r="V91" s="36"/>
      <c r="W91" s="36"/>
      <c r="X91" s="36"/>
      <c r="Y91" s="36"/>
      <c r="Z91" s="36"/>
      <c r="AA91" s="36"/>
      <c r="AB91" s="36"/>
      <c r="AC91" s="36"/>
      <c r="AD91" s="36"/>
      <c r="AE91" s="36"/>
      <c r="AF91" s="36"/>
      <c r="AG91" s="36"/>
      <c r="AH91" s="36"/>
      <c r="AI91" s="36"/>
      <c r="AJ91" s="36"/>
      <c r="AK91" s="36"/>
      <c r="AL91" s="36"/>
      <c r="AM91" s="36"/>
      <c r="AN91" s="37"/>
      <c r="AO91" s="37"/>
      <c r="AP91" s="37"/>
      <c r="AQ91" s="37"/>
      <c r="AR91" s="37"/>
      <c r="AS91" s="37"/>
      <c r="AT91" s="37"/>
      <c r="AU91" s="37"/>
      <c r="AV91" s="37"/>
      <c r="AW91" s="37"/>
      <c r="AX91" s="37"/>
      <c r="AY91" s="37"/>
      <c r="AZ91" s="37"/>
      <c r="BA91" s="37"/>
      <c r="BB91" s="37"/>
      <c r="BC91" s="37"/>
      <c r="BD91" s="37"/>
      <c r="BE91" s="37"/>
    </row>
    <row r="92" spans="2:59" s="298" customFormat="1" ht="18" x14ac:dyDescent="0.3">
      <c r="B92" s="295" t="s">
        <v>356</v>
      </c>
      <c r="C92" s="296"/>
      <c r="D92" s="297"/>
      <c r="G92" s="296"/>
      <c r="H92" s="297"/>
      <c r="K92" s="296"/>
      <c r="L92" s="296"/>
      <c r="M92" s="297"/>
      <c r="N92" s="297"/>
      <c r="O92" s="300"/>
      <c r="P92" s="320"/>
      <c r="Q92" s="304"/>
      <c r="S92" s="303"/>
      <c r="T92" s="303"/>
      <c r="U92" s="303"/>
      <c r="V92" s="303"/>
      <c r="W92" s="303"/>
      <c r="X92" s="303"/>
      <c r="Y92" s="303"/>
      <c r="Z92" s="303"/>
      <c r="AA92" s="303"/>
      <c r="AB92" s="303"/>
      <c r="AC92" s="303"/>
      <c r="AD92" s="303"/>
      <c r="AE92" s="303"/>
      <c r="AF92" s="303"/>
      <c r="AG92" s="303"/>
      <c r="AH92" s="303"/>
      <c r="AI92" s="303"/>
      <c r="AJ92" s="303"/>
      <c r="AK92" s="303"/>
      <c r="AL92" s="303"/>
      <c r="AM92" s="303"/>
      <c r="AN92" s="304"/>
      <c r="AO92" s="304"/>
      <c r="AP92" s="304"/>
      <c r="AQ92" s="304"/>
      <c r="AR92" s="304"/>
      <c r="AS92" s="304"/>
      <c r="AT92" s="304"/>
      <c r="AU92" s="304"/>
      <c r="AV92" s="304"/>
      <c r="AW92" s="304"/>
      <c r="AX92" s="304"/>
      <c r="AY92" s="304"/>
      <c r="AZ92" s="304"/>
      <c r="BA92" s="304"/>
      <c r="BB92" s="304"/>
      <c r="BC92" s="304"/>
      <c r="BD92" s="304"/>
      <c r="BE92" s="304"/>
    </row>
    <row r="93" spans="2:59" s="31" customFormat="1" ht="15.5" x14ac:dyDescent="0.3">
      <c r="B93" s="9"/>
      <c r="C93" s="34"/>
      <c r="D93" s="84"/>
      <c r="G93" s="38"/>
      <c r="H93" s="84"/>
      <c r="J93" s="33"/>
      <c r="K93" s="38"/>
      <c r="L93" s="38"/>
      <c r="M93" s="86"/>
      <c r="N93" s="86"/>
      <c r="O93" s="86"/>
      <c r="P93" s="38"/>
      <c r="Q93" s="35"/>
      <c r="R93" s="99"/>
      <c r="S93" s="36"/>
      <c r="T93" s="36"/>
      <c r="U93" s="36"/>
      <c r="V93" s="36"/>
      <c r="W93" s="36"/>
      <c r="X93" s="36"/>
      <c r="Y93" s="36"/>
      <c r="Z93" s="36"/>
      <c r="AA93" s="36"/>
      <c r="AB93" s="36"/>
      <c r="AC93" s="36"/>
      <c r="AD93" s="36"/>
      <c r="AE93" s="36"/>
      <c r="AF93" s="36"/>
      <c r="AG93" s="36"/>
      <c r="AH93" s="36"/>
      <c r="AI93" s="36"/>
      <c r="AJ93" s="36"/>
      <c r="AK93" s="36"/>
      <c r="AL93" s="36"/>
      <c r="AM93" s="36"/>
      <c r="AN93" s="37"/>
      <c r="AO93" s="37"/>
      <c r="AP93" s="37"/>
      <c r="AQ93" s="37"/>
      <c r="AR93" s="37"/>
      <c r="AS93" s="37"/>
      <c r="AT93" s="37"/>
      <c r="AU93" s="37"/>
      <c r="AV93" s="37"/>
      <c r="AW93" s="37"/>
      <c r="AX93" s="37"/>
      <c r="AY93" s="37"/>
      <c r="AZ93" s="37"/>
      <c r="BA93" s="37"/>
      <c r="BB93" s="37"/>
      <c r="BC93" s="37"/>
      <c r="BD93" s="37"/>
      <c r="BE93" s="37"/>
    </row>
    <row r="94" spans="2:59" s="31" customFormat="1" ht="15.5" x14ac:dyDescent="0.3">
      <c r="B94" s="95" t="str">
        <f>IF(LEFT(B84,5)="Louhe","Louhe",B84)</f>
        <v>Louhe</v>
      </c>
      <c r="C94" s="34"/>
      <c r="D94" s="84"/>
      <c r="G94" s="38" t="s">
        <v>199</v>
      </c>
      <c r="H94" s="84"/>
      <c r="I94" s="84"/>
      <c r="J94" s="33"/>
      <c r="K94" s="38" t="s">
        <v>329</v>
      </c>
      <c r="L94" s="38" t="s">
        <v>201</v>
      </c>
      <c r="M94" s="86"/>
      <c r="N94" s="86"/>
      <c r="O94" s="255" t="s">
        <v>644</v>
      </c>
      <c r="P94" s="148"/>
      <c r="Q94" s="37"/>
      <c r="R94" s="36" t="s">
        <v>350</v>
      </c>
      <c r="S94" s="36"/>
      <c r="T94" s="36" t="s">
        <v>446</v>
      </c>
      <c r="U94" s="36" t="s">
        <v>445</v>
      </c>
      <c r="V94" s="36" t="s">
        <v>443</v>
      </c>
      <c r="W94" s="36" t="s">
        <v>444</v>
      </c>
      <c r="X94" s="36" t="s">
        <v>447</v>
      </c>
      <c r="Y94" s="36" t="s">
        <v>449</v>
      </c>
      <c r="Z94" s="36" t="s">
        <v>448</v>
      </c>
      <c r="AA94" s="36" t="s">
        <v>202</v>
      </c>
      <c r="AB94" s="36" t="s">
        <v>380</v>
      </c>
      <c r="AC94" s="36" t="s">
        <v>450</v>
      </c>
      <c r="AD94" s="36" t="s">
        <v>381</v>
      </c>
      <c r="AE94" s="36" t="s">
        <v>451</v>
      </c>
      <c r="AF94" s="36" t="s">
        <v>452</v>
      </c>
      <c r="AG94" s="36" t="s">
        <v>638</v>
      </c>
      <c r="AH94" s="36" t="s">
        <v>206</v>
      </c>
      <c r="AI94" s="36" t="s">
        <v>278</v>
      </c>
      <c r="AJ94" s="36" t="s">
        <v>207</v>
      </c>
      <c r="AK94" s="108"/>
      <c r="AL94" s="36"/>
      <c r="AM94" s="36"/>
      <c r="AN94" s="37"/>
      <c r="AO94" s="37"/>
      <c r="AP94" s="37"/>
      <c r="AQ94" s="37"/>
      <c r="AR94" s="37"/>
      <c r="AS94" s="37"/>
      <c r="AT94" s="37"/>
      <c r="AU94" s="37"/>
      <c r="AV94" s="37"/>
      <c r="AW94" s="37"/>
      <c r="AX94" s="37"/>
      <c r="AY94" s="37"/>
      <c r="AZ94" s="37"/>
      <c r="BA94" s="37"/>
      <c r="BB94" s="37"/>
      <c r="BC94" s="37"/>
      <c r="BD94" s="37"/>
      <c r="BE94" s="37"/>
      <c r="BF94" s="108"/>
      <c r="BG94" s="108"/>
    </row>
    <row r="95" spans="2:59" s="31" customFormat="1" ht="46.5" x14ac:dyDescent="0.3">
      <c r="B95" s="45" t="s">
        <v>526</v>
      </c>
      <c r="C95" s="112" t="str">
        <f>IF(ISNUMBER(C84),C84,"")</f>
        <v/>
      </c>
      <c r="D95" s="113" t="str">
        <f>D84</f>
        <v>m3ktr</v>
      </c>
      <c r="G95" s="112">
        <f>IF(ISNUMBER(G84),G84,"")</f>
        <v>1.8</v>
      </c>
      <c r="H95" s="84" t="str">
        <f>IF(D95="t","t/t","t/m3")</f>
        <v>t/m3</v>
      </c>
      <c r="I95" s="84"/>
      <c r="J95" s="173" t="s">
        <v>441</v>
      </c>
      <c r="K95" s="96">
        <f>IF(ISNUMBER(L95),L95,IF(OR(C96=Pudotusvalikot!$D$14,C96=Pudotusvalikot!$D$15),Kalusto!$G$96,VLOOKUP(C96,Kalusto!$C$44:$G$83,5,FALSE))*IF(OR(C97=Pudotusvalikot!$V$3,C97=Pudotusvalikot!$V$4),Muut!$E$38,IF(C97=Pudotusvalikot!$V$5,Muut!$E$39,IF(C97=Pudotusvalikot!$V$6,Muut!$E$40,Muut!$E$41))))</f>
        <v>6.1090000000000005E-2</v>
      </c>
      <c r="L95" s="40"/>
      <c r="M95" s="41" t="s">
        <v>200</v>
      </c>
      <c r="N95" s="41"/>
      <c r="O95" s="256"/>
      <c r="P95" s="149"/>
      <c r="Q95" s="104"/>
      <c r="R95" s="50" t="str">
        <f ca="1">IF(AND(NOT(ISNUMBER(AB95)),NOT(ISNUMBER(AG95))),"",IF(ISNUMBER(AB95),AB95,0)+IF(ISNUMBER(AG95),AG95,0))</f>
        <v/>
      </c>
      <c r="S95" s="102" t="s">
        <v>172</v>
      </c>
      <c r="T95" s="48" t="str">
        <f>IF(ISNUMBER(L95),"Kohdetieto",IF(OR(C96=Pudotusvalikot!$D$14,C96=Pudotusvalikot!$D$15),Kalusto!$I$96,VLOOKUP(C96,Kalusto!$C$44:$L$83,7,FALSE)))</f>
        <v>Maansiirtoauto</v>
      </c>
      <c r="U95" s="48">
        <f>IF(ISNUMBER(L95),"Kohdetieto",IF(OR(C96=Pudotusvalikot!$D$14,C96=Pudotusvalikot!$D$15),Kalusto!$J$96,VLOOKUP(C96,Kalusto!$C$44:$L$83,8,FALSE)))</f>
        <v>32</v>
      </c>
      <c r="V95" s="49">
        <f>IF(ISNUMBER(L95),"Kohdetieto",IF(OR(C96=Pudotusvalikot!$D$14,C96=Pudotusvalikot!$D$15),Kalusto!$K$96,VLOOKUP(C96,Kalusto!$C$44:$L$83,9,FALSE)))</f>
        <v>0.8</v>
      </c>
      <c r="W95" s="49" t="str">
        <f>IF(ISNUMBER(L95),"Kohdetieto",IF(OR(C96=Pudotusvalikot!$D$14,C96=Pudotusvalikot!$D$15),Kalusto!$L$96,VLOOKUP(C96,Kalusto!$C$44:$L$83,10,FALSE)))</f>
        <v>maantieajo</v>
      </c>
      <c r="X95" s="50" t="str">
        <f>IF(ISBLANK(C95),"",IF(D95="t",C95,IF(ISNUMBER(C95*G95),C95*G95,"")))</f>
        <v/>
      </c>
      <c r="Y95" s="48" t="str">
        <f>IF(ISNUMBER(C98),C98,"")</f>
        <v/>
      </c>
      <c r="Z95" s="50" t="str">
        <f>IF(ISNUMBER(X95/(U95*V95)*Y95),X95/(U95*V95)*Y95,"")</f>
        <v/>
      </c>
      <c r="AA95" s="51">
        <f>IF(ISNUMBER(L95),L95,K95)</f>
        <v>6.1090000000000005E-2</v>
      </c>
      <c r="AB95" s="50" t="str">
        <f>IF(ISNUMBER(Y95*X95*K95),Y95*X95*K95,"")</f>
        <v/>
      </c>
      <c r="AC95" s="50" t="str">
        <f>IF(C120="Kyllä",Y95,"")</f>
        <v/>
      </c>
      <c r="AD95" s="50" t="str">
        <f>IF(C120="Kyllä",IF(ISNUMBER(X95/(U95*V95)),X95/(U95*V95),""),"")</f>
        <v/>
      </c>
      <c r="AE95" s="50" t="str">
        <f>IF(ISNUMBER(AD95*AC95),AD95*AC95,"")</f>
        <v/>
      </c>
      <c r="AF95" s="51">
        <f ca="1">IF(ISNUMBER(L96),L96,K96)</f>
        <v>0.71940999999999999</v>
      </c>
      <c r="AG95" s="50" t="str">
        <f ca="1">IF(ISNUMBER(AC95*AD95*K96),AC95*AD95*K96,"")</f>
        <v/>
      </c>
      <c r="AH95" s="48">
        <f>IF(T95="Jakelukuorma-auto",0,IF(T95="Maansiirtoauto",4,IF(T95="Puoliperävaunu",6,8)))</f>
        <v>4</v>
      </c>
      <c r="AI95" s="48">
        <f>IF(AND(T95="Jakelukuorma-auto",U95=6),0,IF(AND(T95="Jakelukuorma-auto",U95=15),2,0))</f>
        <v>0</v>
      </c>
      <c r="AJ95" s="48">
        <f>IF(W95="maantieajo",0,1)</f>
        <v>0</v>
      </c>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31" x14ac:dyDescent="0.3">
      <c r="B96" s="170" t="s">
        <v>512</v>
      </c>
      <c r="C96" s="392" t="s">
        <v>84</v>
      </c>
      <c r="D96" s="393"/>
      <c r="E96" s="393"/>
      <c r="F96" s="393"/>
      <c r="G96" s="394"/>
      <c r="H96" s="84"/>
      <c r="I96" s="84"/>
      <c r="J96" s="33" t="s">
        <v>442</v>
      </c>
      <c r="K96" s="96">
        <f ca="1">IF(ISNUMBER(L96),L96,IF($C$139="Ei","",IF(AND($C$139="Kyllä",OR(C96=Pudotusvalikot!$D$14,C96=Pudotusvalikot!$D$15)),Kalusto!$G$97,OFFSET(Kalusto!$G$85,AH95+AJ95+AI95,0,1,1)))*IF(OR(C97=Pudotusvalikot!$V$3,C97=Pudotusvalikot!$V$4),Muut!$E$38,IF(C97=Pudotusvalikot!$V$5,Muut!$E$39,IF(C97=Pudotusvalikot!$V$6,Muut!$E$40,Muut!$E$41))))</f>
        <v>0.71940999999999999</v>
      </c>
      <c r="L96" s="40"/>
      <c r="M96" s="41" t="s">
        <v>204</v>
      </c>
      <c r="N96" s="41"/>
      <c r="O96" s="265"/>
      <c r="P96" s="147"/>
      <c r="Q96" s="105"/>
      <c r="R96" s="36"/>
      <c r="S96" s="36"/>
      <c r="T96" s="36"/>
      <c r="U96" s="36"/>
      <c r="V96" s="36"/>
      <c r="W96" s="36"/>
      <c r="X96" s="36"/>
      <c r="Y96" s="36"/>
      <c r="Z96" s="36"/>
      <c r="AA96" s="36"/>
      <c r="AB96" s="36"/>
      <c r="AC96" s="36"/>
      <c r="AD96" s="36"/>
      <c r="AE96" s="36"/>
      <c r="AF96" s="36"/>
      <c r="AG96" s="36"/>
      <c r="AH96" s="36"/>
      <c r="AI96" s="36"/>
      <c r="AJ96" s="36"/>
      <c r="AK96" s="108"/>
      <c r="AL96" s="36"/>
      <c r="AM96" s="36"/>
      <c r="AN96" s="37"/>
      <c r="AO96" s="37"/>
      <c r="AP96" s="37"/>
      <c r="AQ96" s="37"/>
      <c r="AR96" s="37"/>
      <c r="AS96" s="37"/>
      <c r="AT96" s="37"/>
      <c r="AU96" s="37"/>
      <c r="AV96" s="37"/>
      <c r="AW96" s="37"/>
      <c r="AX96" s="37"/>
      <c r="AY96" s="37"/>
      <c r="AZ96" s="37"/>
      <c r="BA96" s="37"/>
      <c r="BB96" s="37"/>
      <c r="BC96" s="37"/>
      <c r="BD96" s="37"/>
      <c r="BE96" s="37"/>
      <c r="BF96" s="108"/>
      <c r="BG96" s="108"/>
    </row>
    <row r="97" spans="2:59" s="31" customFormat="1" ht="15.5" x14ac:dyDescent="0.3">
      <c r="B97" s="186" t="s">
        <v>506</v>
      </c>
      <c r="C97" s="160" t="s">
        <v>242</v>
      </c>
      <c r="D97" s="34"/>
      <c r="E97" s="34"/>
      <c r="F97" s="34"/>
      <c r="G97" s="34"/>
      <c r="H97" s="59"/>
      <c r="J97" s="173"/>
      <c r="K97" s="173"/>
      <c r="L97" s="173"/>
      <c r="M97" s="41"/>
      <c r="N97" s="41"/>
      <c r="O97" s="265"/>
      <c r="Q97" s="47"/>
      <c r="R97" s="102"/>
      <c r="S97" s="102"/>
      <c r="T97" s="36"/>
      <c r="U97" s="36"/>
      <c r="V97" s="181"/>
      <c r="W97" s="181"/>
      <c r="X97" s="61"/>
      <c r="Y97" s="36"/>
      <c r="Z97" s="61"/>
      <c r="AA97" s="182"/>
      <c r="AB97" s="61"/>
      <c r="AC97" s="61"/>
      <c r="AD97" s="61"/>
      <c r="AE97" s="61"/>
      <c r="AF97" s="182"/>
      <c r="AG97" s="61"/>
      <c r="AH97" s="36"/>
      <c r="AI97" s="36"/>
      <c r="AJ97" s="36"/>
      <c r="AK97" s="108"/>
      <c r="AL97" s="36"/>
      <c r="AM97" s="36"/>
      <c r="AN97" s="37"/>
      <c r="AO97" s="37"/>
      <c r="AP97" s="37"/>
      <c r="AQ97" s="37"/>
      <c r="AR97" s="37"/>
      <c r="AS97" s="37"/>
      <c r="AT97" s="37"/>
      <c r="AU97" s="37"/>
      <c r="AV97" s="37"/>
      <c r="AW97" s="37"/>
      <c r="AX97" s="37"/>
      <c r="AY97" s="37"/>
      <c r="AZ97" s="37"/>
      <c r="BA97" s="37"/>
      <c r="BB97" s="37"/>
      <c r="BC97" s="37"/>
      <c r="BD97" s="37"/>
      <c r="BE97" s="37"/>
    </row>
    <row r="98" spans="2:59" s="31" customFormat="1" ht="15.5" x14ac:dyDescent="0.3">
      <c r="B98" s="45" t="s">
        <v>525</v>
      </c>
      <c r="C98" s="162"/>
      <c r="D98" s="84" t="s">
        <v>5</v>
      </c>
      <c r="G98" s="34"/>
      <c r="H98" s="84"/>
      <c r="I98" s="84"/>
      <c r="J98" s="33"/>
      <c r="K98" s="34"/>
      <c r="L98" s="34"/>
      <c r="M98" s="84"/>
      <c r="N98" s="84"/>
      <c r="O98" s="100"/>
      <c r="P98" s="150"/>
      <c r="Q98" s="105"/>
      <c r="R98" s="36"/>
      <c r="S98" s="36"/>
      <c r="T98" s="36"/>
      <c r="U98" s="36"/>
      <c r="V98" s="36"/>
      <c r="W98" s="36"/>
      <c r="X98" s="36"/>
      <c r="Y98" s="36"/>
      <c r="Z98" s="36"/>
      <c r="AA98" s="36"/>
      <c r="AB98" s="36"/>
      <c r="AC98" s="36"/>
      <c r="AD98" s="36"/>
      <c r="AE98" s="36"/>
      <c r="AF98" s="36"/>
      <c r="AG98" s="36"/>
      <c r="AH98" s="36"/>
      <c r="AI98" s="36"/>
      <c r="AJ98" s="36"/>
      <c r="AK98" s="108"/>
      <c r="AL98" s="36"/>
      <c r="AM98" s="36"/>
      <c r="AN98" s="37"/>
      <c r="AO98" s="37"/>
      <c r="AP98" s="37"/>
      <c r="AQ98" s="37"/>
      <c r="AR98" s="37"/>
      <c r="AS98" s="37"/>
      <c r="AT98" s="37"/>
      <c r="AU98" s="37"/>
      <c r="AV98" s="37"/>
      <c r="AW98" s="37"/>
      <c r="AX98" s="37"/>
      <c r="AY98" s="37"/>
      <c r="AZ98" s="37"/>
      <c r="BA98" s="37"/>
      <c r="BB98" s="37"/>
      <c r="BC98" s="37"/>
      <c r="BD98" s="37"/>
      <c r="BE98" s="37"/>
      <c r="BF98" s="108"/>
      <c r="BG98" s="108"/>
    </row>
    <row r="99" spans="2:59" s="31" customFormat="1" ht="15.5" x14ac:dyDescent="0.3">
      <c r="B99" s="95" t="str">
        <f>IF(LEFT(B85,6)="Murske","Murske",B85)</f>
        <v>Murske</v>
      </c>
      <c r="C99" s="34"/>
      <c r="D99" s="84"/>
      <c r="G99" s="34"/>
      <c r="H99" s="84"/>
      <c r="I99" s="84"/>
      <c r="J99" s="33"/>
      <c r="K99" s="38" t="s">
        <v>329</v>
      </c>
      <c r="L99" s="38" t="s">
        <v>201</v>
      </c>
      <c r="M99" s="86"/>
      <c r="N99" s="86"/>
      <c r="O99" s="266"/>
      <c r="P99" s="148"/>
      <c r="Q99" s="37"/>
      <c r="R99" s="36" t="s">
        <v>350</v>
      </c>
      <c r="S99" s="36"/>
      <c r="T99" s="36" t="s">
        <v>446</v>
      </c>
      <c r="U99" s="36" t="s">
        <v>445</v>
      </c>
      <c r="V99" s="36" t="s">
        <v>443</v>
      </c>
      <c r="W99" s="36" t="s">
        <v>444</v>
      </c>
      <c r="X99" s="36" t="s">
        <v>447</v>
      </c>
      <c r="Y99" s="36" t="s">
        <v>449</v>
      </c>
      <c r="Z99" s="36" t="s">
        <v>448</v>
      </c>
      <c r="AA99" s="36" t="s">
        <v>202</v>
      </c>
      <c r="AB99" s="36" t="s">
        <v>380</v>
      </c>
      <c r="AC99" s="36" t="s">
        <v>450</v>
      </c>
      <c r="AD99" s="36" t="s">
        <v>381</v>
      </c>
      <c r="AE99" s="36" t="s">
        <v>451</v>
      </c>
      <c r="AF99" s="36" t="s">
        <v>452</v>
      </c>
      <c r="AG99" s="36" t="s">
        <v>638</v>
      </c>
      <c r="AH99" s="36" t="s">
        <v>206</v>
      </c>
      <c r="AI99" s="36" t="s">
        <v>278</v>
      </c>
      <c r="AJ99" s="36" t="s">
        <v>207</v>
      </c>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46.5" x14ac:dyDescent="0.3">
      <c r="B100" s="45" t="s">
        <v>526</v>
      </c>
      <c r="C100" s="112" t="str">
        <f>IF(ISNUMBER(C85),C85,"")</f>
        <v/>
      </c>
      <c r="D100" s="113" t="str">
        <f>D85</f>
        <v>m3ktr</v>
      </c>
      <c r="G100" s="112">
        <f>IF(ISNUMBER(G85),G85,"")</f>
        <v>1.6666666666666667</v>
      </c>
      <c r="H100" s="84" t="str">
        <f>IF(D100="t","t/t","t/m3")</f>
        <v>t/m3</v>
      </c>
      <c r="I100" s="84"/>
      <c r="J100" s="173" t="s">
        <v>441</v>
      </c>
      <c r="K100" s="96">
        <f>IF(ISNUMBER(L100),L100,IF(OR(C101=Pudotusvalikot!$D$14,C101=Pudotusvalikot!$D$15),Kalusto!$G$96,VLOOKUP(C101,Kalusto!$C$44:$G$83,5,FALSE))*IF(OR(C102=Pudotusvalikot!$V$3,C102=Pudotusvalikot!$V$4),Muut!$E$38,IF(C102=Pudotusvalikot!$V$5,Muut!$E$39,IF(C102=Pudotusvalikot!$V$6,Muut!$E$40,Muut!$E$41))))</f>
        <v>6.1090000000000005E-2</v>
      </c>
      <c r="L100" s="40"/>
      <c r="M100" s="41" t="s">
        <v>200</v>
      </c>
      <c r="N100" s="41"/>
      <c r="O100" s="265"/>
      <c r="P100" s="149"/>
      <c r="Q100" s="104"/>
      <c r="R100" s="50" t="str">
        <f ca="1">IF(AND(NOT(ISNUMBER(AB100)),NOT(ISNUMBER(AG100))),"",IF(ISNUMBER(AB100),AB100,0)+IF(ISNUMBER(AG100),AG100,0))</f>
        <v/>
      </c>
      <c r="S100" s="102" t="s">
        <v>172</v>
      </c>
      <c r="T100" s="48" t="str">
        <f>IF(ISNUMBER(L100),"Kohdetieto",IF(OR(C101=Pudotusvalikot!$D$14,C101=Pudotusvalikot!$D$15),Kalusto!$I$96,VLOOKUP(C101,Kalusto!$C$44:$L$83,7,FALSE)))</f>
        <v>Maansiirtoauto</v>
      </c>
      <c r="U100" s="48">
        <f>IF(ISNUMBER(L100),"Kohdetieto",IF(OR(C101=Pudotusvalikot!$D$14,C101=Pudotusvalikot!$D$15),Kalusto!$J$96,VLOOKUP(C101,Kalusto!$C$44:$L$83,8,FALSE)))</f>
        <v>32</v>
      </c>
      <c r="V100" s="49">
        <f>IF(ISNUMBER(L100),"Kohdetieto",IF(OR(C101=Pudotusvalikot!$D$14,C101=Pudotusvalikot!$D$15),Kalusto!$K$96,VLOOKUP(C101,Kalusto!$C$44:$L$83,9,FALSE)))</f>
        <v>0.8</v>
      </c>
      <c r="W100" s="49" t="str">
        <f>IF(ISNUMBER(L100),"Kohdetieto",IF(OR(C101=Pudotusvalikot!$D$14,C101=Pudotusvalikot!$D$15),Kalusto!$L$96,VLOOKUP(C101,Kalusto!$C$44:$L$83,10,FALSE)))</f>
        <v>maantieajo</v>
      </c>
      <c r="X100" s="50" t="str">
        <f>IF(ISBLANK(C100),"",IF(D100="t",C100,IF(ISNUMBER(C100*G100),C100*G100,"")))</f>
        <v/>
      </c>
      <c r="Y100" s="48" t="str">
        <f>IF(ISNUMBER(C103),C103,"")</f>
        <v/>
      </c>
      <c r="Z100" s="50" t="str">
        <f>IF(ISNUMBER(X100/(U100*V100)*Y100),X100/(U100*V100)*Y100,"")</f>
        <v/>
      </c>
      <c r="AA100" s="51">
        <f>IF(ISNUMBER(L100),L100,K100)</f>
        <v>6.1090000000000005E-2</v>
      </c>
      <c r="AB100" s="50" t="str">
        <f>IF(ISNUMBER(Y100*X100*K100),Y100*X100*K100,"")</f>
        <v/>
      </c>
      <c r="AC100" s="50" t="str">
        <f>IF(C120="Kyllä",Y100,"")</f>
        <v/>
      </c>
      <c r="AD100" s="50" t="str">
        <f>IF(C120="Kyllä",IF(ISNUMBER(X100/(U100*V100)),X100/(U100*V100),""),"")</f>
        <v/>
      </c>
      <c r="AE100" s="50" t="str">
        <f>IF(ISNUMBER(AD100*AC100),AD100*AC100,"")</f>
        <v/>
      </c>
      <c r="AF100" s="51">
        <f ca="1">IF(ISNUMBER(L101),L101,K101)</f>
        <v>0.71940999999999999</v>
      </c>
      <c r="AG100" s="50" t="str">
        <f ca="1">IF(ISNUMBER(AC100*AD100*K101),AC100*AD100*K101,"")</f>
        <v/>
      </c>
      <c r="AH100" s="48">
        <f>IF(T100="Jakelukuorma-auto",0,IF(T100="Maansiirtoauto",4,IF(T100="Puoliperävaunu",6,8)))</f>
        <v>4</v>
      </c>
      <c r="AI100" s="48">
        <f>IF(AND(T100="Jakelukuorma-auto",U100=6),0,IF(AND(T100="Jakelukuorma-auto",U100=15),2,0))</f>
        <v>0</v>
      </c>
      <c r="AJ100" s="48">
        <f>IF(W100="maantieajo",0,1)</f>
        <v>0</v>
      </c>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31" x14ac:dyDescent="0.3">
      <c r="B101" s="170" t="s">
        <v>512</v>
      </c>
      <c r="C101" s="392" t="s">
        <v>84</v>
      </c>
      <c r="D101" s="393"/>
      <c r="E101" s="393"/>
      <c r="F101" s="393"/>
      <c r="G101" s="394"/>
      <c r="H101" s="84"/>
      <c r="I101" s="84"/>
      <c r="J101" s="33" t="s">
        <v>442</v>
      </c>
      <c r="K101" s="96">
        <f ca="1">IF(ISNUMBER(L101),L101,IF($C$139="Ei","",IF(AND($C$139="Kyllä",OR(C101=Pudotusvalikot!$D$14,C101=Pudotusvalikot!$D$15)),Kalusto!$G$97,OFFSET(Kalusto!$G$85,AH100+AJ100+AI100,0,1,1)))*IF(OR(C102=Pudotusvalikot!$V$3,C102=Pudotusvalikot!$V$4),Muut!$E$38,IF(C102=Pudotusvalikot!$V$5,Muut!$E$39,IF(C102=Pudotusvalikot!$V$6,Muut!$E$40,Muut!$E$41))))</f>
        <v>0.71940999999999999</v>
      </c>
      <c r="L101" s="40"/>
      <c r="M101" s="41" t="s">
        <v>204</v>
      </c>
      <c r="N101" s="41"/>
      <c r="O101" s="265"/>
      <c r="P101" s="147"/>
      <c r="Q101" s="105"/>
      <c r="R101" s="36"/>
      <c r="S101" s="36"/>
      <c r="T101" s="36"/>
      <c r="U101" s="36"/>
      <c r="V101" s="36"/>
      <c r="W101" s="36"/>
      <c r="X101" s="36"/>
      <c r="Y101" s="36"/>
      <c r="Z101" s="36"/>
      <c r="AA101" s="36"/>
      <c r="AB101" s="36"/>
      <c r="AC101" s="36"/>
      <c r="AD101" s="36"/>
      <c r="AE101" s="36"/>
      <c r="AF101" s="36"/>
      <c r="AG101" s="36"/>
      <c r="AH101" s="36"/>
      <c r="AI101" s="36"/>
      <c r="AJ101" s="36"/>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15.5" x14ac:dyDescent="0.3">
      <c r="B102" s="186" t="s">
        <v>506</v>
      </c>
      <c r="C102" s="160" t="s">
        <v>242</v>
      </c>
      <c r="D102" s="34"/>
      <c r="E102" s="34"/>
      <c r="F102" s="34"/>
      <c r="G102" s="34"/>
      <c r="H102" s="59"/>
      <c r="J102" s="173"/>
      <c r="K102" s="173"/>
      <c r="L102" s="173"/>
      <c r="M102" s="41"/>
      <c r="N102" s="41"/>
      <c r="O102" s="265"/>
      <c r="Q102" s="47"/>
      <c r="R102" s="102"/>
      <c r="S102" s="102"/>
      <c r="T102" s="36"/>
      <c r="U102" s="36"/>
      <c r="V102" s="181"/>
      <c r="W102" s="181"/>
      <c r="X102" s="61"/>
      <c r="Y102" s="36"/>
      <c r="Z102" s="61"/>
      <c r="AA102" s="182"/>
      <c r="AB102" s="61"/>
      <c r="AC102" s="61"/>
      <c r="AD102" s="61"/>
      <c r="AE102" s="61"/>
      <c r="AF102" s="182"/>
      <c r="AG102" s="61"/>
      <c r="AH102" s="36"/>
      <c r="AI102" s="36"/>
      <c r="AJ102" s="36"/>
      <c r="AK102" s="108"/>
      <c r="AL102" s="36"/>
      <c r="AM102" s="36"/>
      <c r="AN102" s="37"/>
      <c r="AO102" s="37"/>
      <c r="AP102" s="37"/>
      <c r="AQ102" s="37"/>
      <c r="AR102" s="37"/>
      <c r="AS102" s="37"/>
      <c r="AT102" s="37"/>
      <c r="AU102" s="37"/>
      <c r="AV102" s="37"/>
      <c r="AW102" s="37"/>
      <c r="AX102" s="37"/>
      <c r="AY102" s="37"/>
      <c r="AZ102" s="37"/>
      <c r="BA102" s="37"/>
      <c r="BB102" s="37"/>
      <c r="BC102" s="37"/>
      <c r="BD102" s="37"/>
      <c r="BE102" s="37"/>
    </row>
    <row r="103" spans="2:59" s="31" customFormat="1" ht="15.5" x14ac:dyDescent="0.3">
      <c r="B103" s="45" t="s">
        <v>525</v>
      </c>
      <c r="C103" s="162"/>
      <c r="D103" s="84" t="s">
        <v>5</v>
      </c>
      <c r="G103" s="34"/>
      <c r="H103" s="84"/>
      <c r="I103" s="84"/>
      <c r="J103" s="33"/>
      <c r="K103" s="34"/>
      <c r="L103" s="34"/>
      <c r="M103" s="84"/>
      <c r="N103" s="84"/>
      <c r="O103" s="100"/>
      <c r="P103" s="150"/>
      <c r="Q103" s="105"/>
      <c r="R103" s="36"/>
      <c r="S103" s="36"/>
      <c r="T103" s="36"/>
      <c r="U103" s="36"/>
      <c r="V103" s="36"/>
      <c r="W103" s="36"/>
      <c r="X103" s="36"/>
      <c r="Y103" s="36"/>
      <c r="Z103" s="36"/>
      <c r="AA103" s="36"/>
      <c r="AB103" s="36"/>
      <c r="AC103" s="36"/>
      <c r="AD103" s="36"/>
      <c r="AE103" s="36"/>
      <c r="AF103" s="36"/>
      <c r="AG103" s="36"/>
      <c r="AH103" s="36"/>
      <c r="AI103" s="36"/>
      <c r="AJ103" s="36"/>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15.5" x14ac:dyDescent="0.3">
      <c r="B104" s="95" t="str">
        <f>IF(LEFT(B86,4)="Sora","Sora",B86)</f>
        <v>Sora</v>
      </c>
      <c r="C104" s="34"/>
      <c r="D104" s="84"/>
      <c r="G104" s="34"/>
      <c r="H104" s="84"/>
      <c r="I104" s="84"/>
      <c r="J104" s="33"/>
      <c r="K104" s="38" t="s">
        <v>329</v>
      </c>
      <c r="L104" s="38" t="s">
        <v>201</v>
      </c>
      <c r="M104" s="86"/>
      <c r="N104" s="86"/>
      <c r="O104" s="266"/>
      <c r="P104" s="148"/>
      <c r="Q104" s="37"/>
      <c r="R104" s="36" t="s">
        <v>350</v>
      </c>
      <c r="S104" s="36"/>
      <c r="T104" s="36" t="s">
        <v>446</v>
      </c>
      <c r="U104" s="36" t="s">
        <v>445</v>
      </c>
      <c r="V104" s="36" t="s">
        <v>443</v>
      </c>
      <c r="W104" s="36" t="s">
        <v>444</v>
      </c>
      <c r="X104" s="36" t="s">
        <v>447</v>
      </c>
      <c r="Y104" s="36" t="s">
        <v>449</v>
      </c>
      <c r="Z104" s="36" t="s">
        <v>448</v>
      </c>
      <c r="AA104" s="36" t="s">
        <v>202</v>
      </c>
      <c r="AB104" s="36" t="s">
        <v>380</v>
      </c>
      <c r="AC104" s="36" t="s">
        <v>450</v>
      </c>
      <c r="AD104" s="36" t="s">
        <v>381</v>
      </c>
      <c r="AE104" s="36" t="s">
        <v>451</v>
      </c>
      <c r="AF104" s="36" t="s">
        <v>452</v>
      </c>
      <c r="AG104" s="36" t="s">
        <v>638</v>
      </c>
      <c r="AH104" s="36" t="s">
        <v>206</v>
      </c>
      <c r="AI104" s="36" t="s">
        <v>278</v>
      </c>
      <c r="AJ104" s="36" t="s">
        <v>207</v>
      </c>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46.5" x14ac:dyDescent="0.3">
      <c r="B105" s="45" t="s">
        <v>526</v>
      </c>
      <c r="C105" s="112" t="str">
        <f>IF(ISNUMBER(C86),C86,"")</f>
        <v/>
      </c>
      <c r="D105" s="113" t="str">
        <f>D86</f>
        <v>m3ktr</v>
      </c>
      <c r="G105" s="112">
        <f>IF(ISNUMBER(G86),G86,"")</f>
        <v>1.6666666666666667</v>
      </c>
      <c r="H105" s="84" t="str">
        <f>IF(D105="t","t/t","t/m3")</f>
        <v>t/m3</v>
      </c>
      <c r="I105" s="84"/>
      <c r="J105" s="173" t="s">
        <v>441</v>
      </c>
      <c r="K105" s="96">
        <f>IF(ISNUMBER(L105),L105,IF(OR(C106=Pudotusvalikot!$D$14,C106=Pudotusvalikot!$D$15),Kalusto!$G$96,VLOOKUP(C106,Kalusto!$C$44:$G$83,5,FALSE))*IF(OR(C107=Pudotusvalikot!$V$3,C107=Pudotusvalikot!$V$4),Muut!$E$38,IF(C107=Pudotusvalikot!$V$5,Muut!$E$39,IF(C107=Pudotusvalikot!$V$6,Muut!$E$40,Muut!$E$41))))</f>
        <v>6.1090000000000005E-2</v>
      </c>
      <c r="L105" s="40"/>
      <c r="M105" s="41" t="s">
        <v>200</v>
      </c>
      <c r="N105" s="41"/>
      <c r="O105" s="265"/>
      <c r="P105" s="149"/>
      <c r="Q105" s="104"/>
      <c r="R105" s="50" t="str">
        <f ca="1">IF(AND(NOT(ISNUMBER(AB105)),NOT(ISNUMBER(AG105))),"",IF(ISNUMBER(AB105),AB105,0)+IF(ISNUMBER(AG105),AG105,0))</f>
        <v/>
      </c>
      <c r="S105" s="102" t="s">
        <v>172</v>
      </c>
      <c r="T105" s="48" t="str">
        <f>IF(ISNUMBER(L105),"Kohdetieto",IF(OR(C106=Pudotusvalikot!$D$14,C106=Pudotusvalikot!$D$15),Kalusto!$I$96,VLOOKUP(C106,Kalusto!$C$44:$L$83,7,FALSE)))</f>
        <v>Maansiirtoauto</v>
      </c>
      <c r="U105" s="48">
        <f>IF(ISNUMBER(L105),"Kohdetieto",IF(OR(C106=Pudotusvalikot!$D$14,C106=Pudotusvalikot!$D$15),Kalusto!$J$96,VLOOKUP(C106,Kalusto!$C$44:$L$83,8,FALSE)))</f>
        <v>32</v>
      </c>
      <c r="V105" s="49">
        <f>IF(ISNUMBER(L105),"Kohdetieto",IF(OR(C106=Pudotusvalikot!$D$14,C106=Pudotusvalikot!$D$15),Kalusto!$K$96,VLOOKUP(C106,Kalusto!$C$44:$L$83,9,FALSE)))</f>
        <v>0.8</v>
      </c>
      <c r="W105" s="49" t="str">
        <f>IF(ISNUMBER(L105),"Kohdetieto",IF(OR(C106=Pudotusvalikot!$D$14,C106=Pudotusvalikot!$D$15),Kalusto!$L$96,VLOOKUP(C106,Kalusto!$C$44:$L$83,10,FALSE)))</f>
        <v>maantieajo</v>
      </c>
      <c r="X105" s="50" t="str">
        <f>IF(ISBLANK(C105),"",IF(D105="t",C105,IF(ISNUMBER(C105*G105),C105*G105,"")))</f>
        <v/>
      </c>
      <c r="Y105" s="48" t="str">
        <f>IF(ISNUMBER(C108),C108,"")</f>
        <v/>
      </c>
      <c r="Z105" s="50" t="str">
        <f>IF(ISNUMBER(X105/(U105*V105)*Y105),X105/(U105*V105)*Y105,"")</f>
        <v/>
      </c>
      <c r="AA105" s="51">
        <f>IF(ISNUMBER(L105),L105,K105)</f>
        <v>6.1090000000000005E-2</v>
      </c>
      <c r="AB105" s="50" t="str">
        <f>IF(ISNUMBER(Y105*X105*K105),Y105*X105*K105,"")</f>
        <v/>
      </c>
      <c r="AC105" s="50" t="str">
        <f>IF(C120="Kyllä",Y105,"")</f>
        <v/>
      </c>
      <c r="AD105" s="50" t="str">
        <f>IF(C120="Kyllä",IF(ISNUMBER(X105/(U105*V105)),X105/(U105*V105),""),"")</f>
        <v/>
      </c>
      <c r="AE105" s="50" t="str">
        <f>IF(ISNUMBER(AD105*AC105),AD105*AC105,"")</f>
        <v/>
      </c>
      <c r="AF105" s="51">
        <f ca="1">IF(ISNUMBER(L106),L106,K106)</f>
        <v>0.71940999999999999</v>
      </c>
      <c r="AG105" s="50" t="str">
        <f ca="1">IF(ISNUMBER(AC105*AD105*K106),AC105*AD105*K106,"")</f>
        <v/>
      </c>
      <c r="AH105" s="48">
        <f>IF(T105="Jakelukuorma-auto",0,IF(T105="Maansiirtoauto",4,IF(T105="Puoliperävaunu",6,8)))</f>
        <v>4</v>
      </c>
      <c r="AI105" s="48">
        <f>IF(AND(T105="Jakelukuorma-auto",U105=6),0,IF(AND(T105="Jakelukuorma-auto",U105=15),2,0))</f>
        <v>0</v>
      </c>
      <c r="AJ105" s="48">
        <f>IF(W105="maantieajo",0,1)</f>
        <v>0</v>
      </c>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31" x14ac:dyDescent="0.3">
      <c r="B106" s="170" t="s">
        <v>512</v>
      </c>
      <c r="C106" s="392" t="s">
        <v>84</v>
      </c>
      <c r="D106" s="393"/>
      <c r="E106" s="393"/>
      <c r="F106" s="393"/>
      <c r="G106" s="394"/>
      <c r="H106" s="84"/>
      <c r="I106" s="84"/>
      <c r="J106" s="33" t="s">
        <v>442</v>
      </c>
      <c r="K106" s="96">
        <f ca="1">IF(ISNUMBER(L106),L106,IF($C$139="Ei","",IF(AND($C$139="Kyllä",OR(C106=Pudotusvalikot!$D$14,C106=Pudotusvalikot!$D$15)),Kalusto!$G$97,OFFSET(Kalusto!$G$85,AH105+AJ105+AI105,0,1,1)))*IF(OR(C107=Pudotusvalikot!$V$3,C107=Pudotusvalikot!$V$4),Muut!$E$38,IF(C107=Pudotusvalikot!$V$5,Muut!$E$39,IF(C107=Pudotusvalikot!$V$6,Muut!$E$40,Muut!$E$41))))</f>
        <v>0.71940999999999999</v>
      </c>
      <c r="L106" s="40"/>
      <c r="M106" s="41" t="s">
        <v>204</v>
      </c>
      <c r="N106" s="41"/>
      <c r="O106" s="265"/>
      <c r="P106" s="147"/>
      <c r="Q106" s="105"/>
      <c r="R106" s="36"/>
      <c r="S106" s="36"/>
      <c r="T106" s="36"/>
      <c r="U106" s="36"/>
      <c r="V106" s="36"/>
      <c r="W106" s="36"/>
      <c r="X106" s="36"/>
      <c r="Y106" s="36"/>
      <c r="Z106" s="36"/>
      <c r="AA106" s="36"/>
      <c r="AB106" s="36"/>
      <c r="AC106" s="36"/>
      <c r="AD106" s="36"/>
      <c r="AE106" s="36"/>
      <c r="AF106" s="36"/>
      <c r="AG106" s="36"/>
      <c r="AH106" s="36"/>
      <c r="AI106" s="36"/>
      <c r="AJ106" s="36"/>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15.5" x14ac:dyDescent="0.3">
      <c r="B107" s="186" t="s">
        <v>506</v>
      </c>
      <c r="C107" s="160" t="s">
        <v>242</v>
      </c>
      <c r="D107" s="34"/>
      <c r="E107" s="34"/>
      <c r="F107" s="34"/>
      <c r="G107" s="34"/>
      <c r="H107" s="59"/>
      <c r="J107" s="173"/>
      <c r="K107" s="173"/>
      <c r="L107" s="173"/>
      <c r="M107" s="41"/>
      <c r="N107" s="41"/>
      <c r="O107" s="265"/>
      <c r="Q107" s="47"/>
      <c r="R107" s="102"/>
      <c r="S107" s="102"/>
      <c r="T107" s="36"/>
      <c r="U107" s="36"/>
      <c r="V107" s="181"/>
      <c r="W107" s="181"/>
      <c r="X107" s="61"/>
      <c r="Y107" s="36"/>
      <c r="Z107" s="61"/>
      <c r="AA107" s="182"/>
      <c r="AB107" s="61"/>
      <c r="AC107" s="61"/>
      <c r="AD107" s="61"/>
      <c r="AE107" s="61"/>
      <c r="AF107" s="182"/>
      <c r="AG107" s="61"/>
      <c r="AH107" s="36"/>
      <c r="AI107" s="36"/>
      <c r="AJ107" s="36"/>
      <c r="AK107" s="108"/>
      <c r="AL107" s="36"/>
      <c r="AM107" s="36"/>
      <c r="AN107" s="37"/>
      <c r="AO107" s="37"/>
      <c r="AP107" s="37"/>
      <c r="AQ107" s="37"/>
      <c r="AR107" s="37"/>
      <c r="AS107" s="37"/>
      <c r="AT107" s="37"/>
      <c r="AU107" s="37"/>
      <c r="AV107" s="37"/>
      <c r="AW107" s="37"/>
      <c r="AX107" s="37"/>
      <c r="AY107" s="37"/>
      <c r="AZ107" s="37"/>
      <c r="BA107" s="37"/>
      <c r="BB107" s="37"/>
      <c r="BC107" s="37"/>
      <c r="BD107" s="37"/>
      <c r="BE107" s="37"/>
    </row>
    <row r="108" spans="2:59" s="31" customFormat="1" ht="15.5" x14ac:dyDescent="0.3">
      <c r="B108" s="45" t="s">
        <v>525</v>
      </c>
      <c r="C108" s="162"/>
      <c r="D108" s="84" t="s">
        <v>5</v>
      </c>
      <c r="G108" s="34"/>
      <c r="H108" s="84"/>
      <c r="I108" s="84"/>
      <c r="J108" s="33"/>
      <c r="K108" s="34"/>
      <c r="L108" s="34"/>
      <c r="M108" s="84"/>
      <c r="N108" s="84"/>
      <c r="O108" s="100"/>
      <c r="P108" s="150"/>
      <c r="Q108" s="105"/>
      <c r="R108" s="36"/>
      <c r="S108" s="36"/>
      <c r="T108" s="36"/>
      <c r="U108" s="36"/>
      <c r="V108" s="36"/>
      <c r="W108" s="36"/>
      <c r="X108" s="36"/>
      <c r="Y108" s="36"/>
      <c r="Z108" s="36"/>
      <c r="AA108" s="36"/>
      <c r="AB108" s="36"/>
      <c r="AC108" s="36"/>
      <c r="AD108" s="36"/>
      <c r="AE108" s="36"/>
      <c r="AF108" s="36"/>
      <c r="AG108" s="36"/>
      <c r="AH108" s="36"/>
      <c r="AI108" s="36"/>
      <c r="AJ108" s="36"/>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15.5" x14ac:dyDescent="0.3">
      <c r="B109" s="95" t="str">
        <f>IF(LEFT(B87,6)="Hiekka","Hiekka",B87)</f>
        <v>Hiekka</v>
      </c>
      <c r="C109" s="34"/>
      <c r="D109" s="84"/>
      <c r="G109" s="34"/>
      <c r="H109" s="84"/>
      <c r="I109" s="84"/>
      <c r="J109" s="33"/>
      <c r="K109" s="38" t="s">
        <v>329</v>
      </c>
      <c r="L109" s="38" t="s">
        <v>201</v>
      </c>
      <c r="M109" s="86"/>
      <c r="N109" s="86"/>
      <c r="O109" s="266"/>
      <c r="P109" s="148"/>
      <c r="Q109" s="37"/>
      <c r="R109" s="36" t="s">
        <v>350</v>
      </c>
      <c r="S109" s="36"/>
      <c r="T109" s="36" t="s">
        <v>446</v>
      </c>
      <c r="U109" s="36" t="s">
        <v>445</v>
      </c>
      <c r="V109" s="36" t="s">
        <v>443</v>
      </c>
      <c r="W109" s="36" t="s">
        <v>444</v>
      </c>
      <c r="X109" s="36" t="s">
        <v>447</v>
      </c>
      <c r="Y109" s="36" t="s">
        <v>449</v>
      </c>
      <c r="Z109" s="36" t="s">
        <v>448</v>
      </c>
      <c r="AA109" s="36" t="s">
        <v>202</v>
      </c>
      <c r="AB109" s="36" t="s">
        <v>380</v>
      </c>
      <c r="AC109" s="36" t="s">
        <v>450</v>
      </c>
      <c r="AD109" s="36" t="s">
        <v>381</v>
      </c>
      <c r="AE109" s="36" t="s">
        <v>451</v>
      </c>
      <c r="AF109" s="36" t="s">
        <v>452</v>
      </c>
      <c r="AG109" s="36" t="s">
        <v>638</v>
      </c>
      <c r="AH109" s="36" t="s">
        <v>206</v>
      </c>
      <c r="AI109" s="36" t="s">
        <v>278</v>
      </c>
      <c r="AJ109" s="36" t="s">
        <v>207</v>
      </c>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46.5" x14ac:dyDescent="0.3">
      <c r="B110" s="45" t="s">
        <v>526</v>
      </c>
      <c r="C110" s="112" t="str">
        <f>IF(ISNUMBER(C87),C87,"")</f>
        <v/>
      </c>
      <c r="D110" s="113" t="str">
        <f>D87</f>
        <v>m3ktr</v>
      </c>
      <c r="G110" s="112">
        <f>IF(ISNUMBER(G87),G87,"")</f>
        <v>1.4285714285714286</v>
      </c>
      <c r="H110" s="84" t="str">
        <f>IF(D110="t","t/t","t/m3")</f>
        <v>t/m3</v>
      </c>
      <c r="I110" s="84"/>
      <c r="J110" s="173" t="s">
        <v>441</v>
      </c>
      <c r="K110" s="96">
        <f>IF(ISNUMBER(L110),L110,IF(OR(C111=Pudotusvalikot!$D$14,C111=Pudotusvalikot!$D$15),Kalusto!$G$96,VLOOKUP(C111,Kalusto!$C$44:$G$83,5,FALSE))*IF(OR(C112=Pudotusvalikot!$V$3,C112=Pudotusvalikot!$V$4),Muut!$E$38,IF(C112=Pudotusvalikot!$V$5,Muut!$E$39,IF(C112=Pudotusvalikot!$V$6,Muut!$E$40,Muut!$E$41))))</f>
        <v>6.1090000000000005E-2</v>
      </c>
      <c r="L110" s="40"/>
      <c r="M110" s="41" t="s">
        <v>200</v>
      </c>
      <c r="N110" s="41"/>
      <c r="O110" s="265"/>
      <c r="P110" s="149"/>
      <c r="Q110" s="104"/>
      <c r="R110" s="50" t="str">
        <f ca="1">IF(AND(NOT(ISNUMBER(AB110)),NOT(ISNUMBER(AG110))),"",IF(ISNUMBER(AB110),AB110,0)+IF(ISNUMBER(AG110),AG110,0))</f>
        <v/>
      </c>
      <c r="S110" s="102" t="s">
        <v>172</v>
      </c>
      <c r="T110" s="48" t="str">
        <f>IF(ISNUMBER(L110),"Kohdetieto",IF(OR(C111=Pudotusvalikot!$D$14,C111=Pudotusvalikot!$D$15),Kalusto!$I$96,VLOOKUP(C111,Kalusto!$C$44:$L$83,7,FALSE)))</f>
        <v>Maansiirtoauto</v>
      </c>
      <c r="U110" s="48">
        <f>IF(ISNUMBER(L110),"Kohdetieto",IF(OR(C111=Pudotusvalikot!$D$14,C111=Pudotusvalikot!$D$15),Kalusto!$J$96,VLOOKUP(C111,Kalusto!$C$44:$L$83,8,FALSE)))</f>
        <v>32</v>
      </c>
      <c r="V110" s="49">
        <f>IF(ISNUMBER(L110),"Kohdetieto",IF(OR(C111=Pudotusvalikot!$D$14,C111=Pudotusvalikot!$D$15),Kalusto!$K$96,VLOOKUP(C111,Kalusto!$C$44:$L$83,9,FALSE)))</f>
        <v>0.8</v>
      </c>
      <c r="W110" s="49" t="str">
        <f>IF(ISNUMBER(L110),"Kohdetieto",IF(OR(C111=Pudotusvalikot!$D$14,C111=Pudotusvalikot!$D$15),Kalusto!$L$96,VLOOKUP(C111,Kalusto!$C$44:$L$83,10,FALSE)))</f>
        <v>maantieajo</v>
      </c>
      <c r="X110" s="50" t="str">
        <f>IF(ISBLANK(C110),"",IF(D110="t",C110,IF(ISNUMBER(C110*G110),C110*G110,"")))</f>
        <v/>
      </c>
      <c r="Y110" s="48" t="str">
        <f>IF(ISNUMBER(C113),C113,"")</f>
        <v/>
      </c>
      <c r="Z110" s="50" t="str">
        <f>IF(ISNUMBER(X110/(U110*V110)*Y110),X110/(U110*V110)*Y110,"")</f>
        <v/>
      </c>
      <c r="AA110" s="51">
        <f>IF(ISNUMBER(L110),L110,K110)</f>
        <v>6.1090000000000005E-2</v>
      </c>
      <c r="AB110" s="50" t="str">
        <f>IF(ISNUMBER(Y110*X110*K110),Y110*X110*K110,"")</f>
        <v/>
      </c>
      <c r="AC110" s="50" t="str">
        <f>IF(C120="Kyllä",Y110,"")</f>
        <v/>
      </c>
      <c r="AD110" s="50" t="str">
        <f>IF(C120="Kyllä",IF(ISNUMBER(X110/(U110*V110)),X110/(U110*V110),""),"")</f>
        <v/>
      </c>
      <c r="AE110" s="50" t="str">
        <f>IF(ISNUMBER(AD110*AC110),AD110*AC110,"")</f>
        <v/>
      </c>
      <c r="AF110" s="51">
        <f ca="1">IF(ISNUMBER(L111),L111,K111)</f>
        <v>0.71940999999999999</v>
      </c>
      <c r="AG110" s="50" t="str">
        <f ca="1">IF(ISNUMBER(AC110*AD110*K111),AC110*AD110*K111,"")</f>
        <v/>
      </c>
      <c r="AH110" s="48">
        <f>IF(T110="Jakelukuorma-auto",0,IF(T110="Maansiirtoauto",4,IF(T110="Puoliperävaunu",6,8)))</f>
        <v>4</v>
      </c>
      <c r="AI110" s="48">
        <f>IF(AND(T110="Jakelukuorma-auto",U110=6),0,IF(AND(T110="Jakelukuorma-auto",U110=15),2,0))</f>
        <v>0</v>
      </c>
      <c r="AJ110" s="48">
        <f>IF(W110="maantieajo",0,1)</f>
        <v>0</v>
      </c>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31" x14ac:dyDescent="0.3">
      <c r="B111" s="170" t="s">
        <v>512</v>
      </c>
      <c r="C111" s="392" t="s">
        <v>84</v>
      </c>
      <c r="D111" s="393"/>
      <c r="E111" s="393"/>
      <c r="F111" s="393"/>
      <c r="G111" s="394"/>
      <c r="H111" s="84"/>
      <c r="I111" s="84"/>
      <c r="J111" s="33" t="s">
        <v>442</v>
      </c>
      <c r="K111" s="96">
        <f ca="1">IF(ISNUMBER(L111),L111,IF($C$139="Ei","",IF(AND($C$139="Kyllä",OR(C111=Pudotusvalikot!$D$14,C111=Pudotusvalikot!$D$15)),Kalusto!$G$97,OFFSET(Kalusto!$G$85,AH110+AJ110+AI110,0,1,1)))*IF(OR(C112=Pudotusvalikot!$V$3,C112=Pudotusvalikot!$V$4),Muut!$E$38,IF(C112=Pudotusvalikot!$V$5,Muut!$E$39,IF(C112=Pudotusvalikot!$V$6,Muut!$E$40,Muut!$E$41))))</f>
        <v>0.71940999999999999</v>
      </c>
      <c r="L111" s="40"/>
      <c r="M111" s="41" t="s">
        <v>204</v>
      </c>
      <c r="N111" s="41"/>
      <c r="O111" s="265"/>
      <c r="P111" s="147"/>
      <c r="Q111" s="105"/>
      <c r="R111" s="36"/>
      <c r="S111" s="36"/>
      <c r="T111" s="36"/>
      <c r="U111" s="36"/>
      <c r="V111" s="36"/>
      <c r="W111" s="36"/>
      <c r="X111" s="36"/>
      <c r="Y111" s="36"/>
      <c r="Z111" s="36"/>
      <c r="AA111" s="36"/>
      <c r="AB111" s="36"/>
      <c r="AC111" s="36"/>
      <c r="AD111" s="36"/>
      <c r="AE111" s="36"/>
      <c r="AF111" s="36"/>
      <c r="AG111" s="36"/>
      <c r="AH111" s="36"/>
      <c r="AI111" s="36"/>
      <c r="AJ111" s="36"/>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15.5" x14ac:dyDescent="0.3">
      <c r="B112" s="186" t="s">
        <v>506</v>
      </c>
      <c r="C112" s="160" t="s">
        <v>242</v>
      </c>
      <c r="D112" s="34"/>
      <c r="E112" s="34"/>
      <c r="F112" s="34"/>
      <c r="G112" s="34"/>
      <c r="H112" s="59"/>
      <c r="J112" s="173"/>
      <c r="K112" s="173"/>
      <c r="L112" s="173"/>
      <c r="M112" s="41"/>
      <c r="N112" s="41"/>
      <c r="O112" s="265"/>
      <c r="Q112" s="47"/>
      <c r="R112" s="102"/>
      <c r="S112" s="102"/>
      <c r="T112" s="36"/>
      <c r="U112" s="36"/>
      <c r="V112" s="181"/>
      <c r="W112" s="181"/>
      <c r="X112" s="61"/>
      <c r="Y112" s="36"/>
      <c r="Z112" s="61"/>
      <c r="AA112" s="182"/>
      <c r="AB112" s="61"/>
      <c r="AC112" s="61"/>
      <c r="AD112" s="61"/>
      <c r="AE112" s="61"/>
      <c r="AF112" s="182"/>
      <c r="AG112" s="61"/>
      <c r="AH112" s="36"/>
      <c r="AI112" s="36"/>
      <c r="AJ112" s="36"/>
      <c r="AK112" s="108"/>
      <c r="AL112" s="36"/>
      <c r="AM112" s="36"/>
      <c r="AN112" s="37"/>
      <c r="AO112" s="37"/>
      <c r="AP112" s="37"/>
      <c r="AQ112" s="37"/>
      <c r="AR112" s="37"/>
      <c r="AS112" s="37"/>
      <c r="AT112" s="37"/>
      <c r="AU112" s="37"/>
      <c r="AV112" s="37"/>
      <c r="AW112" s="37"/>
      <c r="AX112" s="37"/>
      <c r="AY112" s="37"/>
      <c r="AZ112" s="37"/>
      <c r="BA112" s="37"/>
      <c r="BB112" s="37"/>
      <c r="BC112" s="37"/>
      <c r="BD112" s="37"/>
      <c r="BE112" s="37"/>
    </row>
    <row r="113" spans="2:59" s="31" customFormat="1" ht="15.5" x14ac:dyDescent="0.3">
      <c r="B113" s="45" t="s">
        <v>525</v>
      </c>
      <c r="C113" s="162"/>
      <c r="D113" s="84" t="s">
        <v>5</v>
      </c>
      <c r="G113" s="34"/>
      <c r="H113" s="84"/>
      <c r="I113" s="84"/>
      <c r="J113" s="33"/>
      <c r="K113" s="34"/>
      <c r="L113" s="34"/>
      <c r="M113" s="84"/>
      <c r="N113" s="84"/>
      <c r="O113" s="100"/>
      <c r="P113" s="150"/>
      <c r="Q113" s="105"/>
      <c r="R113" s="36"/>
      <c r="S113" s="36"/>
      <c r="T113" s="36"/>
      <c r="U113" s="36"/>
      <c r="V113" s="36"/>
      <c r="W113" s="36"/>
      <c r="X113" s="36"/>
      <c r="Y113" s="36"/>
      <c r="Z113" s="36"/>
      <c r="AA113" s="36"/>
      <c r="AB113" s="36"/>
      <c r="AC113" s="36"/>
      <c r="AD113" s="36"/>
      <c r="AE113" s="36"/>
      <c r="AF113" s="36"/>
      <c r="AG113" s="36"/>
      <c r="AH113" s="36"/>
      <c r="AI113" s="36"/>
      <c r="AJ113" s="36"/>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15.5" x14ac:dyDescent="0.3">
      <c r="B114" s="95" t="str">
        <f>B88</f>
        <v>Maa-aineksen 5 kuvaus (valitse yksikkö ja mahdollinen muuntokerroin tonneiksi)</v>
      </c>
      <c r="C114" s="34"/>
      <c r="D114" s="84"/>
      <c r="G114" s="34"/>
      <c r="H114" s="84"/>
      <c r="I114" s="84"/>
      <c r="J114" s="33"/>
      <c r="K114" s="38" t="s">
        <v>329</v>
      </c>
      <c r="L114" s="38" t="s">
        <v>201</v>
      </c>
      <c r="M114" s="86"/>
      <c r="N114" s="86"/>
      <c r="O114" s="266"/>
      <c r="P114" s="148"/>
      <c r="Q114" s="37"/>
      <c r="R114" s="36" t="s">
        <v>350</v>
      </c>
      <c r="S114" s="36"/>
      <c r="T114" s="36" t="s">
        <v>446</v>
      </c>
      <c r="U114" s="36" t="s">
        <v>445</v>
      </c>
      <c r="V114" s="36" t="s">
        <v>443</v>
      </c>
      <c r="W114" s="36" t="s">
        <v>444</v>
      </c>
      <c r="X114" s="36" t="s">
        <v>447</v>
      </c>
      <c r="Y114" s="36" t="s">
        <v>449</v>
      </c>
      <c r="Z114" s="36" t="s">
        <v>448</v>
      </c>
      <c r="AA114" s="36" t="s">
        <v>202</v>
      </c>
      <c r="AB114" s="36" t="s">
        <v>380</v>
      </c>
      <c r="AC114" s="36" t="s">
        <v>450</v>
      </c>
      <c r="AD114" s="36" t="s">
        <v>381</v>
      </c>
      <c r="AE114" s="36" t="s">
        <v>451</v>
      </c>
      <c r="AF114" s="36" t="s">
        <v>452</v>
      </c>
      <c r="AG114" s="36" t="s">
        <v>638</v>
      </c>
      <c r="AH114" s="36" t="s">
        <v>206</v>
      </c>
      <c r="AI114" s="36" t="s">
        <v>278</v>
      </c>
      <c r="AJ114" s="36" t="s">
        <v>207</v>
      </c>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46.5" x14ac:dyDescent="0.3">
      <c r="B115" s="45" t="s">
        <v>528</v>
      </c>
      <c r="C115" s="112" t="str">
        <f>IF(ISNUMBER(C88),C88,"")</f>
        <v/>
      </c>
      <c r="D115" s="113" t="str">
        <f>D88</f>
        <v>m3ktr</v>
      </c>
      <c r="G115" s="112" t="str">
        <f>IF(ISNUMBER(G88),G88,"")</f>
        <v/>
      </c>
      <c r="H115" s="84" t="str">
        <f>IF(D115="t","t/t","t/m3")</f>
        <v>t/m3</v>
      </c>
      <c r="I115" s="84"/>
      <c r="J115" s="173" t="s">
        <v>441</v>
      </c>
      <c r="K115" s="96">
        <f>IF(ISNUMBER(L115),L115,IF(OR(C116=Pudotusvalikot!$D$14,C116=Pudotusvalikot!$D$15),Kalusto!$G$96,VLOOKUP(C116,Kalusto!$C$44:$G$83,5,FALSE))*IF(OR(C117=Pudotusvalikot!$V$3,C117=Pudotusvalikot!$V$4),Muut!$E$38,IF(C117=Pudotusvalikot!$V$5,Muut!$E$39,IF(C117=Pudotusvalikot!$V$6,Muut!$E$40,Muut!$E$41))))</f>
        <v>6.1090000000000005E-2</v>
      </c>
      <c r="L115" s="40"/>
      <c r="M115" s="41" t="s">
        <v>200</v>
      </c>
      <c r="N115" s="41"/>
      <c r="O115" s="265"/>
      <c r="P115" s="149"/>
      <c r="Q115" s="104"/>
      <c r="R115" s="50" t="str">
        <f ca="1">IF(AND(NOT(ISNUMBER(AB115)),NOT(ISNUMBER(AG115))),"",IF(ISNUMBER(AB115),AB115,0)+IF(ISNUMBER(AG115),AG115,0))</f>
        <v/>
      </c>
      <c r="S115" s="102" t="s">
        <v>172</v>
      </c>
      <c r="T115" s="48" t="str">
        <f>IF(ISNUMBER(L115),"Kohdetieto",IF(OR(C116=Pudotusvalikot!$D$14,C116=Pudotusvalikot!$D$15),Kalusto!$I$96,VLOOKUP(C116,Kalusto!$C$44:$L$83,7,FALSE)))</f>
        <v>Maansiirtoauto</v>
      </c>
      <c r="U115" s="48">
        <f>IF(ISNUMBER(L115),"Kohdetieto",IF(OR(C116=Pudotusvalikot!$D$14,C116=Pudotusvalikot!$D$15),Kalusto!$J$96,VLOOKUP(C116,Kalusto!$C$44:$L$83,8,FALSE)))</f>
        <v>32</v>
      </c>
      <c r="V115" s="49">
        <f>IF(ISNUMBER(L115),"Kohdetieto",IF(OR(C116=Pudotusvalikot!$D$14,C116=Pudotusvalikot!$D$15),Kalusto!$K$96,VLOOKUP(C116,Kalusto!$C$44:$L$83,9,FALSE)))</f>
        <v>0.8</v>
      </c>
      <c r="W115" s="49" t="str">
        <f>IF(ISNUMBER(L115),"Kohdetieto",IF(OR(C116=Pudotusvalikot!$D$14,C116=Pudotusvalikot!$D$15),Kalusto!$L$96,VLOOKUP(C116,Kalusto!$C$44:$L$83,10,FALSE)))</f>
        <v>maantieajo</v>
      </c>
      <c r="X115" s="50" t="str">
        <f>IF(ISBLANK(C115),"",IF(D115="t",C115,IF(ISNUMBER(C115*G115),C115*G115,"")))</f>
        <v/>
      </c>
      <c r="Y115" s="48" t="str">
        <f>IF(ISNUMBER(C118),C118,"")</f>
        <v/>
      </c>
      <c r="Z115" s="50" t="str">
        <f>IF(ISNUMBER(X115/(U115*V115)*Y115),X115/(U115*V115)*Y115,"")</f>
        <v/>
      </c>
      <c r="AA115" s="51">
        <f>IF(ISNUMBER(L115),L115,K115)</f>
        <v>6.1090000000000005E-2</v>
      </c>
      <c r="AB115" s="50" t="str">
        <f>IF(ISNUMBER(Y115*X115*K115),Y115*X115*K115,"")</f>
        <v/>
      </c>
      <c r="AC115" s="50" t="str">
        <f>IF(C120="Kyllä",Y115,"")</f>
        <v/>
      </c>
      <c r="AD115" s="50" t="str">
        <f>IF(C120="Kyllä",IF(ISNUMBER(X115/(U115*V115)),X115/(U115*V115),""),"")</f>
        <v/>
      </c>
      <c r="AE115" s="50" t="str">
        <f>IF(ISNUMBER(AD115*AC115),AD115*AC115,"")</f>
        <v/>
      </c>
      <c r="AF115" s="51">
        <f ca="1">IF(ISNUMBER(L116),L116,K116)</f>
        <v>0.71940999999999999</v>
      </c>
      <c r="AG115" s="50" t="str">
        <f ca="1">IF(ISNUMBER(AC115*AD115*K116),AC115*AD115*K116,"")</f>
        <v/>
      </c>
      <c r="AH115" s="48">
        <f>IF(T115="Jakelukuorma-auto",0,IF(T115="Maansiirtoauto",4,IF(T115="Puoliperävaunu",6,8)))</f>
        <v>4</v>
      </c>
      <c r="AI115" s="48">
        <f>IF(AND(T115="Jakelukuorma-auto",U115=6),0,IF(AND(T115="Jakelukuorma-auto",U115=15),2,0))</f>
        <v>0</v>
      </c>
      <c r="AJ115" s="48">
        <f>IF(W115="maantieajo",0,1)</f>
        <v>0</v>
      </c>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31" x14ac:dyDescent="0.3">
      <c r="B116" s="170" t="s">
        <v>512</v>
      </c>
      <c r="C116" s="392" t="s">
        <v>84</v>
      </c>
      <c r="D116" s="393"/>
      <c r="E116" s="393"/>
      <c r="F116" s="393"/>
      <c r="G116" s="394"/>
      <c r="H116" s="84"/>
      <c r="I116" s="84"/>
      <c r="J116" s="33" t="s">
        <v>442</v>
      </c>
      <c r="K116" s="96">
        <f ca="1">IF(ISNUMBER(L116),L116,IF($C$139="Ei","",IF(AND($C$139="Kyllä",OR(C116=Pudotusvalikot!$D$14,C116=Pudotusvalikot!$D$15)),Kalusto!$G$97,OFFSET(Kalusto!$G$85,AH115+AJ115+AI115,0,1,1)))*IF(OR(C117=Pudotusvalikot!$V$3,C117=Pudotusvalikot!$V$4),Muut!$E$38,IF(C117=Pudotusvalikot!$V$5,Muut!$E$39,IF(C117=Pudotusvalikot!$V$6,Muut!$E$40,Muut!$E$41))))</f>
        <v>0.71940999999999999</v>
      </c>
      <c r="L116" s="40"/>
      <c r="M116" s="41" t="s">
        <v>204</v>
      </c>
      <c r="N116" s="41"/>
      <c r="O116" s="265"/>
      <c r="P116" s="147"/>
      <c r="Q116" s="105"/>
      <c r="R116" s="99"/>
      <c r="S116" s="36"/>
      <c r="T116" s="36"/>
      <c r="U116" s="36"/>
      <c r="V116" s="36"/>
      <c r="W116" s="36"/>
      <c r="X116" s="36"/>
      <c r="Y116" s="36"/>
      <c r="Z116" s="36"/>
      <c r="AA116" s="36"/>
      <c r="AB116" s="36"/>
      <c r="AC116" s="36"/>
      <c r="AD116" s="36"/>
      <c r="AE116" s="36"/>
      <c r="AF116" s="36"/>
      <c r="AG116" s="36"/>
      <c r="AH116" s="36"/>
      <c r="AI116" s="36"/>
      <c r="AJ116" s="36"/>
      <c r="AK116" s="36"/>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15.5" x14ac:dyDescent="0.3">
      <c r="B117" s="186" t="s">
        <v>506</v>
      </c>
      <c r="C117" s="160" t="s">
        <v>242</v>
      </c>
      <c r="D117" s="34"/>
      <c r="E117" s="34"/>
      <c r="F117" s="34"/>
      <c r="G117" s="34"/>
      <c r="H117" s="59"/>
      <c r="J117" s="173"/>
      <c r="K117" s="173"/>
      <c r="L117" s="173"/>
      <c r="M117" s="41"/>
      <c r="N117" s="41"/>
      <c r="O117" s="265"/>
      <c r="Q117" s="47"/>
      <c r="R117" s="102"/>
      <c r="S117" s="102"/>
      <c r="T117" s="36"/>
      <c r="U117" s="36"/>
      <c r="V117" s="181"/>
      <c r="W117" s="181"/>
      <c r="X117" s="61"/>
      <c r="Y117" s="36"/>
      <c r="Z117" s="61"/>
      <c r="AA117" s="182"/>
      <c r="AB117" s="61"/>
      <c r="AC117" s="61"/>
      <c r="AD117" s="61"/>
      <c r="AE117" s="61"/>
      <c r="AF117" s="182"/>
      <c r="AG117" s="61"/>
      <c r="AH117" s="36"/>
      <c r="AI117" s="36"/>
      <c r="AJ117" s="36"/>
      <c r="AK117" s="108"/>
      <c r="AL117" s="36"/>
      <c r="AM117" s="36"/>
      <c r="AN117" s="37"/>
      <c r="AO117" s="37"/>
      <c r="AP117" s="37"/>
      <c r="AQ117" s="37"/>
      <c r="AR117" s="37"/>
      <c r="AS117" s="37"/>
      <c r="AT117" s="37"/>
      <c r="AU117" s="37"/>
      <c r="AV117" s="37"/>
      <c r="AW117" s="37"/>
      <c r="AX117" s="37"/>
      <c r="AY117" s="37"/>
      <c r="AZ117" s="37"/>
      <c r="BA117" s="37"/>
      <c r="BB117" s="37"/>
      <c r="BC117" s="37"/>
      <c r="BD117" s="37"/>
      <c r="BE117" s="37"/>
    </row>
    <row r="118" spans="2:59" s="31" customFormat="1" ht="15.5" x14ac:dyDescent="0.3">
      <c r="B118" s="45" t="s">
        <v>525</v>
      </c>
      <c r="C118" s="162"/>
      <c r="D118" s="84" t="s">
        <v>5</v>
      </c>
      <c r="G118" s="34"/>
      <c r="H118" s="84"/>
      <c r="I118" s="84"/>
      <c r="J118" s="33"/>
      <c r="K118" s="34"/>
      <c r="L118" s="34"/>
      <c r="M118" s="84"/>
      <c r="N118" s="84"/>
      <c r="O118" s="100"/>
      <c r="P118" s="150"/>
      <c r="Q118" s="105"/>
      <c r="R118" s="99"/>
      <c r="S118" s="36"/>
      <c r="T118" s="36"/>
      <c r="U118" s="36"/>
      <c r="V118" s="36"/>
      <c r="W118" s="36"/>
      <c r="X118" s="36"/>
      <c r="Y118" s="36"/>
      <c r="Z118" s="36"/>
      <c r="AA118" s="36"/>
      <c r="AB118" s="36"/>
      <c r="AC118" s="36"/>
      <c r="AD118" s="36"/>
      <c r="AE118" s="36"/>
      <c r="AF118" s="36"/>
      <c r="AG118" s="36"/>
      <c r="AH118" s="36"/>
      <c r="AI118" s="36"/>
      <c r="AJ118" s="36"/>
      <c r="AK118" s="36"/>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15.5" x14ac:dyDescent="0.3">
      <c r="C119" s="34"/>
      <c r="D119" s="84"/>
      <c r="G119" s="34"/>
      <c r="H119" s="84"/>
      <c r="I119" s="84"/>
      <c r="J119" s="33"/>
      <c r="K119" s="34"/>
      <c r="L119" s="34"/>
      <c r="M119" s="84"/>
      <c r="N119" s="84"/>
      <c r="O119" s="100"/>
      <c r="P119" s="69"/>
      <c r="Q119" s="37"/>
      <c r="R119" s="99"/>
      <c r="S119" s="36"/>
      <c r="T119" s="36"/>
      <c r="U119" s="36"/>
      <c r="V119" s="36"/>
      <c r="W119" s="36"/>
      <c r="X119" s="36"/>
      <c r="Y119" s="36"/>
      <c r="Z119" s="36"/>
      <c r="AA119" s="36"/>
      <c r="AB119" s="36"/>
      <c r="AC119" s="36"/>
      <c r="AD119" s="36"/>
      <c r="AE119" s="36"/>
      <c r="AF119" s="36"/>
      <c r="AG119" s="36"/>
      <c r="AH119" s="36"/>
      <c r="AI119" s="36"/>
      <c r="AJ119" s="36"/>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46.5" x14ac:dyDescent="0.3">
      <c r="B120" s="78" t="s">
        <v>668</v>
      </c>
      <c r="C120" s="392" t="s">
        <v>6</v>
      </c>
      <c r="D120" s="394"/>
      <c r="G120" s="34"/>
      <c r="H120" s="84"/>
      <c r="J120" s="33"/>
      <c r="K120" s="34"/>
      <c r="L120" s="34"/>
      <c r="M120" s="84"/>
      <c r="N120" s="84"/>
      <c r="O120" s="100"/>
      <c r="P120" s="69"/>
      <c r="Q120" s="37"/>
      <c r="R120" s="99"/>
      <c r="S120" s="36"/>
      <c r="T120" s="36"/>
      <c r="U120" s="36"/>
      <c r="V120" s="36"/>
      <c r="W120" s="36"/>
      <c r="X120" s="36"/>
      <c r="Y120" s="36"/>
      <c r="Z120" s="36"/>
      <c r="AA120" s="36"/>
      <c r="AB120" s="36"/>
      <c r="AC120" s="36"/>
      <c r="AD120" s="36"/>
      <c r="AE120" s="36"/>
      <c r="AF120" s="36"/>
      <c r="AG120" s="36"/>
      <c r="AH120" s="36"/>
      <c r="AI120" s="36"/>
      <c r="AJ120" s="36"/>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15.5" x14ac:dyDescent="0.3">
      <c r="C121" s="34"/>
      <c r="D121" s="84"/>
      <c r="G121" s="34"/>
      <c r="H121" s="84"/>
      <c r="J121" s="33"/>
      <c r="K121" s="34"/>
      <c r="L121" s="34"/>
      <c r="M121" s="84"/>
      <c r="N121" s="84"/>
      <c r="O121" s="84"/>
      <c r="Q121" s="35"/>
      <c r="R121" s="99"/>
      <c r="S121" s="36"/>
      <c r="T121" s="36"/>
      <c r="U121" s="36"/>
      <c r="V121" s="36"/>
      <c r="W121" s="36"/>
      <c r="X121" s="36"/>
      <c r="Y121" s="36"/>
      <c r="Z121" s="36"/>
      <c r="AA121" s="36"/>
      <c r="AB121" s="36"/>
      <c r="AC121" s="36"/>
      <c r="AD121" s="36"/>
      <c r="AE121" s="36"/>
      <c r="AF121" s="36"/>
      <c r="AG121" s="36"/>
      <c r="AH121" s="36"/>
      <c r="AI121" s="36"/>
      <c r="AJ121" s="36"/>
      <c r="AK121" s="36"/>
      <c r="AL121" s="36"/>
      <c r="AM121" s="36"/>
      <c r="AN121" s="37"/>
      <c r="AO121" s="37"/>
      <c r="AP121" s="37"/>
      <c r="AQ121" s="37"/>
      <c r="AR121" s="37"/>
      <c r="AS121" s="37"/>
      <c r="AT121" s="37"/>
      <c r="AU121" s="37"/>
      <c r="AV121" s="37"/>
      <c r="AW121" s="37"/>
      <c r="AX121" s="37"/>
      <c r="AY121" s="37"/>
      <c r="AZ121" s="37"/>
      <c r="BA121" s="37"/>
      <c r="BB121" s="37"/>
      <c r="BC121" s="37"/>
      <c r="BD121" s="37"/>
      <c r="BE121" s="37"/>
    </row>
    <row r="122" spans="2:59" s="298" customFormat="1" ht="18" x14ac:dyDescent="0.3">
      <c r="B122" s="295" t="s">
        <v>675</v>
      </c>
      <c r="C122" s="296"/>
      <c r="D122" s="297"/>
      <c r="G122" s="296"/>
      <c r="H122" s="297"/>
      <c r="K122" s="296"/>
      <c r="L122" s="296"/>
      <c r="M122" s="297"/>
      <c r="N122" s="297"/>
      <c r="O122" s="300"/>
      <c r="P122" s="320"/>
      <c r="Q122" s="304"/>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4"/>
      <c r="AO122" s="304"/>
      <c r="AP122" s="304"/>
      <c r="AQ122" s="304"/>
      <c r="AR122" s="304"/>
      <c r="AS122" s="304"/>
      <c r="AT122" s="304"/>
      <c r="AU122" s="304"/>
      <c r="AV122" s="304"/>
      <c r="AW122" s="304"/>
      <c r="AX122" s="304"/>
      <c r="AY122" s="304"/>
      <c r="AZ122" s="304"/>
      <c r="BA122" s="304"/>
      <c r="BB122" s="304"/>
      <c r="BC122" s="304"/>
      <c r="BD122" s="304"/>
      <c r="BE122" s="304"/>
    </row>
    <row r="123" spans="2:59" s="31" customFormat="1" ht="15.5" x14ac:dyDescent="0.3">
      <c r="C123" s="34"/>
      <c r="D123" s="84"/>
      <c r="G123" s="34"/>
      <c r="H123" s="84"/>
      <c r="J123" s="33"/>
      <c r="K123" s="34"/>
      <c r="L123" s="34"/>
      <c r="M123" s="84"/>
      <c r="N123" s="84"/>
      <c r="O123" s="255" t="s">
        <v>644</v>
      </c>
      <c r="Q123" s="35"/>
      <c r="R123" s="99"/>
      <c r="S123" s="36"/>
      <c r="T123" s="36"/>
      <c r="U123" s="36"/>
      <c r="V123" s="36"/>
      <c r="W123" s="36"/>
      <c r="X123" s="36"/>
      <c r="Y123" s="36"/>
      <c r="Z123" s="36"/>
      <c r="AA123" s="36"/>
      <c r="AB123" s="36"/>
      <c r="AC123" s="36"/>
      <c r="AD123" s="36"/>
      <c r="AE123" s="36"/>
      <c r="AF123" s="36"/>
      <c r="AG123" s="36"/>
      <c r="AH123" s="36"/>
      <c r="AI123" s="36"/>
      <c r="AJ123" s="36"/>
      <c r="AK123" s="36"/>
      <c r="AL123" s="36"/>
      <c r="AM123" s="36"/>
      <c r="AN123" s="37"/>
      <c r="AO123" s="37"/>
      <c r="AP123" s="37"/>
      <c r="AQ123" s="37"/>
      <c r="AR123" s="37"/>
      <c r="AS123" s="37"/>
      <c r="AT123" s="37"/>
      <c r="AU123" s="37"/>
      <c r="AV123" s="37"/>
      <c r="AW123" s="37"/>
      <c r="AX123" s="37"/>
      <c r="AY123" s="37"/>
      <c r="AZ123" s="37"/>
      <c r="BA123" s="37"/>
      <c r="BB123" s="37"/>
      <c r="BC123" s="37"/>
      <c r="BD123" s="37"/>
      <c r="BE123" s="37"/>
    </row>
    <row r="124" spans="2:59" s="31" customFormat="1" ht="15.5" x14ac:dyDescent="0.3">
      <c r="B124" s="164" t="s">
        <v>335</v>
      </c>
      <c r="C124" s="34"/>
      <c r="D124" s="84"/>
      <c r="G124" s="34"/>
      <c r="H124" s="84"/>
      <c r="K124" s="38"/>
      <c r="L124" s="38"/>
      <c r="M124" s="84"/>
      <c r="N124" s="84"/>
      <c r="O124" s="256"/>
      <c r="Q124" s="35"/>
      <c r="R124" s="99"/>
      <c r="S124" s="36"/>
      <c r="T124" s="36"/>
      <c r="U124" s="36"/>
      <c r="V124" s="36"/>
      <c r="W124" s="36"/>
      <c r="X124" s="36"/>
      <c r="Y124" s="36"/>
      <c r="Z124" s="36"/>
      <c r="AA124" s="36"/>
      <c r="AB124" s="36"/>
      <c r="AC124" s="36"/>
      <c r="AD124" s="36"/>
      <c r="AE124" s="36"/>
      <c r="AF124" s="36"/>
      <c r="AG124" s="36"/>
      <c r="AH124" s="36"/>
      <c r="AI124" s="36"/>
      <c r="AJ124" s="36"/>
      <c r="AK124" s="36"/>
      <c r="AL124" s="36"/>
      <c r="AM124" s="36"/>
      <c r="AN124" s="37"/>
      <c r="AO124" s="37"/>
      <c r="AP124" s="37"/>
      <c r="AQ124" s="37"/>
      <c r="AR124" s="37"/>
      <c r="AS124" s="37"/>
      <c r="AT124" s="37"/>
      <c r="AU124" s="37"/>
      <c r="AV124" s="37"/>
      <c r="AW124" s="37"/>
      <c r="AX124" s="37"/>
      <c r="AY124" s="37"/>
      <c r="AZ124" s="37"/>
      <c r="BA124" s="37"/>
      <c r="BB124" s="37"/>
      <c r="BC124" s="37"/>
      <c r="BD124" s="37"/>
      <c r="BE124" s="37"/>
    </row>
    <row r="125" spans="2:59" s="31" customFormat="1" ht="46.5" x14ac:dyDescent="0.3">
      <c r="B125" s="78" t="s">
        <v>726</v>
      </c>
      <c r="C125" s="395" t="s">
        <v>111</v>
      </c>
      <c r="D125" s="395"/>
      <c r="E125" s="34"/>
      <c r="G125" s="34"/>
      <c r="H125" s="84"/>
      <c r="K125" s="38" t="s">
        <v>329</v>
      </c>
      <c r="L125" s="38" t="s">
        <v>201</v>
      </c>
      <c r="M125" s="84" t="s">
        <v>319</v>
      </c>
      <c r="N125" s="84"/>
      <c r="O125" s="100"/>
      <c r="Q125" s="35"/>
      <c r="R125" s="36" t="s">
        <v>350</v>
      </c>
      <c r="S125" s="36"/>
      <c r="T125" s="108"/>
      <c r="U125" s="36"/>
      <c r="V125" s="36"/>
      <c r="W125" s="36"/>
      <c r="X125" s="36"/>
      <c r="Y125" s="36"/>
      <c r="Z125" s="36"/>
      <c r="AA125" s="36"/>
      <c r="AB125" s="36"/>
      <c r="AC125" s="36"/>
      <c r="AD125" s="36"/>
      <c r="AE125" s="36"/>
      <c r="AF125" s="36"/>
      <c r="AG125" s="36"/>
      <c r="AH125" s="36"/>
      <c r="AI125" s="36"/>
      <c r="AJ125" s="36"/>
      <c r="AK125" s="36"/>
      <c r="AL125" s="36"/>
      <c r="AM125" s="36"/>
      <c r="AN125" s="37"/>
      <c r="AO125" s="37"/>
      <c r="AP125" s="37"/>
      <c r="AQ125" s="37"/>
      <c r="AR125" s="37"/>
      <c r="AS125" s="37"/>
      <c r="AT125" s="37"/>
      <c r="AU125" s="37"/>
      <c r="AV125" s="37"/>
      <c r="AW125" s="37"/>
      <c r="AX125" s="37"/>
      <c r="AY125" s="37"/>
      <c r="AZ125" s="37"/>
      <c r="BA125" s="37"/>
      <c r="BB125" s="37"/>
      <c r="BC125" s="37"/>
      <c r="BD125" s="37"/>
      <c r="BE125" s="37"/>
    </row>
    <row r="126" spans="2:59" s="31" customFormat="1" ht="15.5" x14ac:dyDescent="0.3">
      <c r="B126" s="54" t="s">
        <v>599</v>
      </c>
      <c r="C126" s="162"/>
      <c r="D126" s="84" t="str">
        <f>IF(C125=Pudotusvalikot!$J$14,"Yksikkö",IF(C125=Pudotusvalikot!$J$15,Pudotusvalikot!K15,IF(C125=Pudotusvalikot!$J$16,Pudotusvalikot!K16,IF(C125=Pudotusvalikot!$J$17,Pudotusvalikot!K17,IF(C125=Pudotusvalikot!$J$18,Pudotusvalikot!K18,IF(C125=Pudotusvalikot!$J$19,Pudotusvalikot!K19,IF(C125=Pudotusvalikot!$J$20,Pudotusvalikot!K20,IF(C125=Pudotusvalikot!$J$21,Pudotusvalikot!$K$21,IF(C125=Pudotusvalikot!$J$22,Pudotusvalikot!$K$22,IF(C125=Pudotusvalikot!$J$23,Pudotusvalikot!$K$23,IF(C125=Pudotusvalikot!$J$24,Pudotusvalikot!$K$24,IF(C125=Pudotusvalikot!$J$25,Pudotusvalikot!$K$25,IF(C125=Pudotusvalikot!$J$26,Pudotusvalikot!$K$26,IF(C125=Pudotusvalikot!$J$27,Pudotusvalikot!$K$27,IF(C125=Pudotusvalikot!$J$28,Pudotusvalikot!$K$28,"Yksikkö")))))))))))))))</f>
        <v>Yksikkö</v>
      </c>
      <c r="E126" s="34"/>
      <c r="F126" s="34"/>
      <c r="G126" s="34"/>
      <c r="H126" s="84"/>
      <c r="J126" s="33" t="s">
        <v>364</v>
      </c>
      <c r="K126" s="96" t="str">
        <f>IF(ISNUMBER(L126),L126,IF(C125=Pudotusvalikot!$J$14,"--",IF(C125=Pudotusvalikot!$J$15,Materiaalit!$G$79,IF(C125=Pudotusvalikot!$J$16,Materiaalit!$G$80,IF(C125=Pudotusvalikot!$J$17,Materiaalit!$G$81,IF(C125=Pudotusvalikot!$J$18,Materiaalit!$G$82,IF(C125=Pudotusvalikot!$J$19,Materiaalit!$G$83,IF(C125=Pudotusvalikot!$J$20,Materiaalit!$G$84,IF(C125=Pudotusvalikot!$J$21,Materiaalit!$G$85,IF(C125=Pudotusvalikot!$J$22,Materiaalit!$G$86,IF(C125=Pudotusvalikot!$J$23,Materiaalit!$G$87,IF(C125=Pudotusvalikot!$J$24,Materiaalit!$G$88,IF(C125=Pudotusvalikot!$J$25,Materiaalit!$G$89,IF(C125=Pudotusvalikot!$J$26,Materiaalit!$G$90,IF(C125=Pudotusvalikot!$J$27,Materiaalit!$G$91,IF(C125=Pudotusvalikot!$J$28,Materiaalit!$G$92,"Anna kerroin"))))))))))))))))</f>
        <v>--</v>
      </c>
      <c r="L126" s="40"/>
      <c r="M126" s="96" t="str">
        <f>IF(ISNUMBER(P126),P126,IF(C125=Pudotusvalikot!$H$14,"--",IF(C125=Pudotusvalikot!$H$15,Materiaalit!$H$39,IF(C125=Pudotusvalikot!$H$16,Materiaalit!$H$40,IF(C125=Pudotusvalikot!$H$17,Materiaalit!$H$41,IF(C125=Pudotusvalikot!$H$18,Materiaalit!$H$42,IF(C125=Pudotusvalikot!$H$19,Materiaalit!$H$43,IF(C125=Pudotusvalikot!$H$20,Materiaalit!$H$44,IF(C125=Pudotusvalikot!$H$21,Materiaalit!$H$45,IF(C125=Pudotusvalikot!$H$22,Materiaalit!$H$46,IF(C125=Pudotusvalikot!$H$23,Materiaalit!$H$47,IF(C125=Pudotusvalikot!$H$24,Materiaalit!$H$48,IF(C125=Pudotusvalikot!$H$25,Materiaalit!$H$49,IF(C125=Pudotusvalikot!$H$26,Materiaalit!$H$50,IF(C125=Pudotusvalikot!$H$27,Materiaalit!$H$51,IF(C125=Pudotusvalikot!$H$28,Materiaalit!$H$52,"Anna kerroin"))))))))))))))))</f>
        <v>--</v>
      </c>
      <c r="N126" s="42"/>
      <c r="O126" s="267"/>
      <c r="Q126" s="35"/>
      <c r="R126" s="50" t="str">
        <f>IF(NOT(AND(ISNUMBER(K126),ISNUMBER(C126))),"",C126*K126*IF(C125=Pudotusvalikot!$J$14,1,IF(C125=Pudotusvalikot!$J$15,Materiaalit!$K$79,IF(C125=Pudotusvalikot!$J$16,Materiaalit!$K$80,IF(C125=Pudotusvalikot!$J$17,Materiaalit!$K$81,IF(C125=Pudotusvalikot!$J$18,Materiaalit!$K$82,IF(C125=Pudotusvalikot!$J$19,Materiaalit!$K$83,IF(C125=Pudotusvalikot!$J$20,Materiaalit!$K$84,IF(C125=Pudotusvalikot!$J$21,Materiaalit!$K$85,IF(C125=Pudotusvalikot!$J$22,Materiaalit!$K$86,IF(C125=Pudotusvalikot!$J$23,Materiaalit!$K$87,IF(C125=Pudotusvalikot!$J$24,Materiaalit!$K$88,IF(C125=Pudotusvalikot!$J$25,Materiaalit!$K$89,IF(C125=Pudotusvalikot!$J$26,Materiaalit!$K$90,IF(C125=Pudotusvalikot!$J$27,Materiaalit!$K$91,Materiaalit!$K$92)))))))))))))))</f>
        <v/>
      </c>
      <c r="S126" s="102" t="s">
        <v>172</v>
      </c>
      <c r="T126" s="108"/>
      <c r="U126" s="36"/>
      <c r="V126" s="36"/>
      <c r="W126" s="36"/>
      <c r="X126" s="36"/>
      <c r="Y126" s="36"/>
      <c r="Z126" s="36"/>
      <c r="AA126" s="36"/>
      <c r="AB126" s="36"/>
      <c r="AC126" s="36"/>
      <c r="AD126" s="36"/>
      <c r="AE126" s="36"/>
      <c r="AF126" s="36"/>
      <c r="AG126" s="36"/>
      <c r="AH126" s="36"/>
      <c r="AI126" s="36"/>
      <c r="AJ126" s="36"/>
      <c r="AK126" s="36"/>
      <c r="AL126" s="36"/>
      <c r="AM126" s="36"/>
      <c r="AN126" s="37"/>
      <c r="AO126" s="37"/>
      <c r="AP126" s="37"/>
      <c r="AQ126" s="37"/>
      <c r="AR126" s="37"/>
      <c r="AS126" s="37"/>
      <c r="AT126" s="37"/>
      <c r="AU126" s="37"/>
      <c r="AV126" s="37"/>
      <c r="AW126" s="37"/>
      <c r="AX126" s="37"/>
      <c r="AY126" s="37"/>
      <c r="AZ126" s="37"/>
      <c r="BA126" s="37"/>
      <c r="BB126" s="37"/>
      <c r="BC126" s="37"/>
      <c r="BD126" s="37"/>
      <c r="BE126" s="37"/>
    </row>
    <row r="127" spans="2:59" s="31" customFormat="1" ht="15.5" x14ac:dyDescent="0.3">
      <c r="B127" s="164" t="s">
        <v>336</v>
      </c>
      <c r="C127" s="34"/>
      <c r="D127" s="84"/>
      <c r="E127" s="34"/>
      <c r="G127" s="34"/>
      <c r="H127" s="84"/>
      <c r="J127" s="33"/>
      <c r="K127" s="38"/>
      <c r="L127" s="38"/>
      <c r="M127" s="38"/>
      <c r="N127" s="38"/>
      <c r="O127" s="268"/>
      <c r="Q127" s="35"/>
      <c r="R127" s="61"/>
      <c r="S127" s="36"/>
      <c r="T127" s="108"/>
      <c r="U127" s="36"/>
      <c r="V127" s="36"/>
      <c r="W127" s="36"/>
      <c r="X127" s="36"/>
      <c r="Y127" s="36"/>
      <c r="Z127" s="36"/>
      <c r="AA127" s="36"/>
      <c r="AB127" s="36"/>
      <c r="AC127" s="36"/>
      <c r="AD127" s="36"/>
      <c r="AE127" s="36"/>
      <c r="AF127" s="36"/>
      <c r="AG127" s="36"/>
      <c r="AH127" s="36"/>
      <c r="AI127" s="36"/>
      <c r="AJ127" s="36"/>
      <c r="AK127" s="36"/>
      <c r="AL127" s="36"/>
      <c r="AM127" s="36"/>
      <c r="AN127" s="37"/>
      <c r="AO127" s="37"/>
      <c r="AP127" s="37"/>
      <c r="AQ127" s="37"/>
      <c r="AR127" s="37"/>
      <c r="AS127" s="37"/>
      <c r="AT127" s="37"/>
      <c r="AU127" s="37"/>
      <c r="AV127" s="37"/>
      <c r="AW127" s="37"/>
      <c r="AX127" s="37"/>
      <c r="AY127" s="37"/>
      <c r="AZ127" s="37"/>
      <c r="BA127" s="37"/>
      <c r="BB127" s="37"/>
      <c r="BC127" s="37"/>
      <c r="BD127" s="37"/>
      <c r="BE127" s="37"/>
    </row>
    <row r="128" spans="2:59" s="31" customFormat="1" ht="46.5" x14ac:dyDescent="0.3">
      <c r="B128" s="78" t="s">
        <v>726</v>
      </c>
      <c r="C128" s="395" t="s">
        <v>111</v>
      </c>
      <c r="D128" s="395"/>
      <c r="E128" s="34"/>
      <c r="G128" s="34"/>
      <c r="H128" s="84"/>
      <c r="J128" s="33"/>
      <c r="K128" s="38" t="s">
        <v>329</v>
      </c>
      <c r="L128" s="38" t="s">
        <v>201</v>
      </c>
      <c r="M128" s="38" t="s">
        <v>319</v>
      </c>
      <c r="N128" s="38"/>
      <c r="O128" s="268"/>
      <c r="Q128" s="35"/>
      <c r="R128" s="36" t="s">
        <v>350</v>
      </c>
      <c r="S128" s="36"/>
      <c r="T128" s="108"/>
      <c r="U128" s="36"/>
      <c r="V128" s="36"/>
      <c r="W128" s="36"/>
      <c r="X128" s="36"/>
      <c r="Y128" s="36"/>
      <c r="Z128" s="36"/>
      <c r="AA128" s="36"/>
      <c r="AB128" s="36"/>
      <c r="AC128" s="36"/>
      <c r="AD128" s="36"/>
      <c r="AE128" s="36"/>
      <c r="AF128" s="36"/>
      <c r="AG128" s="36"/>
      <c r="AH128" s="36"/>
      <c r="AI128" s="36"/>
      <c r="AJ128" s="36"/>
      <c r="AK128" s="36"/>
      <c r="AL128" s="36"/>
      <c r="AM128" s="36"/>
      <c r="AN128" s="37"/>
      <c r="AO128" s="37"/>
      <c r="AP128" s="37"/>
      <c r="AQ128" s="37"/>
      <c r="AR128" s="37"/>
      <c r="AS128" s="37"/>
      <c r="AT128" s="37"/>
      <c r="AU128" s="37"/>
      <c r="AV128" s="37"/>
      <c r="AW128" s="37"/>
      <c r="AX128" s="37"/>
      <c r="AY128" s="37"/>
      <c r="AZ128" s="37"/>
      <c r="BA128" s="37"/>
      <c r="BB128" s="37"/>
      <c r="BC128" s="37"/>
      <c r="BD128" s="37"/>
      <c r="BE128" s="37"/>
    </row>
    <row r="129" spans="2:57" s="31" customFormat="1" ht="15.5" x14ac:dyDescent="0.3">
      <c r="B129" s="54" t="s">
        <v>599</v>
      </c>
      <c r="C129" s="160"/>
      <c r="D129" s="84" t="str">
        <f>IF(C128=Pudotusvalikot!$J$14,"Yksikkö",IF(C128=Pudotusvalikot!$J$15,Pudotusvalikot!K18,IF(C128=Pudotusvalikot!$J$16,Pudotusvalikot!K19,IF(C128=Pudotusvalikot!$J$17,Pudotusvalikot!K20,IF(C128=Pudotusvalikot!$J$18,Pudotusvalikot!K21,IF(C128=Pudotusvalikot!$J$19,Pudotusvalikot!K22,IF(C128=Pudotusvalikot!$J$20,Pudotusvalikot!K23,IF(C128=Pudotusvalikot!$J$21,Pudotusvalikot!$K$21,IF(C128=Pudotusvalikot!$J$22,Pudotusvalikot!$K$22,IF(C128=Pudotusvalikot!$J$23,Pudotusvalikot!$K$23,IF(C128=Pudotusvalikot!$J$24,Pudotusvalikot!$K$24,IF(C128=Pudotusvalikot!$J$25,Pudotusvalikot!$K$25,IF(C128=Pudotusvalikot!$J$26,Pudotusvalikot!$K$26,IF(C128=Pudotusvalikot!$J$27,Pudotusvalikot!$K$27,IF(C128=Pudotusvalikot!$J$28,Pudotusvalikot!$K$28,"Yksikkö")))))))))))))))</f>
        <v>Yksikkö</v>
      </c>
      <c r="E129" s="34"/>
      <c r="G129" s="34"/>
      <c r="H129" s="84"/>
      <c r="J129" s="33" t="s">
        <v>364</v>
      </c>
      <c r="K129" s="96" t="str">
        <f>IF(ISNUMBER(L129),L129,IF(C128=Pudotusvalikot!$J$14,"--",IF(C128=Pudotusvalikot!$J$15,Materiaalit!$G$79,IF(C128=Pudotusvalikot!$J$16,Materiaalit!$G$80,IF(C128=Pudotusvalikot!$J$17,Materiaalit!$G$81,IF(C128=Pudotusvalikot!$J$18,Materiaalit!$G$82,IF(C128=Pudotusvalikot!$J$19,Materiaalit!$G$83,IF(C128=Pudotusvalikot!$J$20,Materiaalit!$G$84,IF(C128=Pudotusvalikot!$J$21,Materiaalit!$G$85,IF(C128=Pudotusvalikot!$J$22,Materiaalit!$G$86,IF(C128=Pudotusvalikot!$J$23,Materiaalit!$G$87,IF(C128=Pudotusvalikot!$J$24,Materiaalit!$G$88,IF(C128=Pudotusvalikot!$J$25,Materiaalit!$G$89,IF(C128=Pudotusvalikot!$J$26,Materiaalit!$G$90,IF(C128=Pudotusvalikot!$J$27,Materiaalit!$G$91,IF(C128=Pudotusvalikot!$J$28,Materiaalit!$G$92,"Anna kerroin"))))))))))))))))</f>
        <v>--</v>
      </c>
      <c r="L129" s="40"/>
      <c r="M129" s="96" t="str">
        <f>IF(ISNUMBER(P129),P129,IF(C128=Pudotusvalikot!$H$14,"--",IF(C128=Pudotusvalikot!$H$15,Materiaalit!$H$39,IF(C128=Pudotusvalikot!$H$16,Materiaalit!$H$40,IF(C128=Pudotusvalikot!$H$17,Materiaalit!$H$41,IF(C128=Pudotusvalikot!$H$18,Materiaalit!$H$42,IF(C128=Pudotusvalikot!$H$19,Materiaalit!$H$43,IF(C128=Pudotusvalikot!$H$20,Materiaalit!$H$44,IF(C128=Pudotusvalikot!$H$21,Materiaalit!$H$45,IF(C128=Pudotusvalikot!$H$22,Materiaalit!$H$46,IF(C128=Pudotusvalikot!$H$23,Materiaalit!$H$47,IF(C128=Pudotusvalikot!$H$24,Materiaalit!$H$48,IF(C128=Pudotusvalikot!$H$25,Materiaalit!$H$49,IF(C128=Pudotusvalikot!$H$26,Materiaalit!$H$50,IF(C128=Pudotusvalikot!$H$27,Materiaalit!$H$51,IF(C128=Pudotusvalikot!$H$28,Materiaalit!$H$52,"Anna kerroin"))))))))))))))))</f>
        <v>--</v>
      </c>
      <c r="N129" s="42"/>
      <c r="O129" s="267"/>
      <c r="Q129" s="35"/>
      <c r="R129" s="50" t="str">
        <f>IF(NOT(AND(ISNUMBER(K129),ISNUMBER(C129))),"",C129*K129*IF(C128=Pudotusvalikot!$J$14,1,IF(C128=Pudotusvalikot!$J$15,Materiaalit!$K$79,IF(C128=Pudotusvalikot!$J$16,Materiaalit!$K$80,IF(C128=Pudotusvalikot!$J$17,Materiaalit!$K$81,IF(C128=Pudotusvalikot!$J$18,Materiaalit!$K$82,IF(C128=Pudotusvalikot!$J$19,Materiaalit!$K$83,IF(C128=Pudotusvalikot!$J$20,Materiaalit!$K$84,IF(C128=Pudotusvalikot!$J$21,Materiaalit!$K$85,IF(C128=Pudotusvalikot!$J$22,Materiaalit!$K$86,IF(C128=Pudotusvalikot!$J$23,Materiaalit!$K$87,IF(C128=Pudotusvalikot!$J$24,Materiaalit!$K$88,IF(C128=Pudotusvalikot!$J$25,Materiaalit!$K$89,IF(C128=Pudotusvalikot!$J$26,Materiaalit!$K$90,IF(C128=Pudotusvalikot!$J$27,Materiaalit!$K$91,Materiaalit!$K$92)))))))))))))))</f>
        <v/>
      </c>
      <c r="S129" s="102" t="s">
        <v>172</v>
      </c>
      <c r="T129" s="108"/>
      <c r="U129" s="36"/>
      <c r="V129" s="36"/>
      <c r="W129" s="36"/>
      <c r="X129" s="36"/>
      <c r="Y129" s="36"/>
      <c r="Z129" s="36"/>
      <c r="AA129" s="36"/>
      <c r="AB129" s="36"/>
      <c r="AC129" s="36"/>
      <c r="AD129" s="36"/>
      <c r="AE129" s="36"/>
      <c r="AF129" s="36"/>
      <c r="AG129" s="36"/>
      <c r="AH129" s="36"/>
      <c r="AI129" s="36"/>
      <c r="AJ129" s="36"/>
      <c r="AK129" s="36"/>
      <c r="AL129" s="36"/>
      <c r="AM129" s="36"/>
      <c r="AN129" s="37"/>
      <c r="AO129" s="37"/>
      <c r="AP129" s="37"/>
      <c r="AQ129" s="37"/>
      <c r="AR129" s="37"/>
      <c r="AS129" s="37"/>
      <c r="AT129" s="37"/>
      <c r="AU129" s="37"/>
      <c r="AV129" s="37"/>
      <c r="AW129" s="37"/>
      <c r="AX129" s="37"/>
      <c r="AY129" s="37"/>
      <c r="AZ129" s="37"/>
      <c r="BA129" s="37"/>
      <c r="BB129" s="37"/>
      <c r="BC129" s="37"/>
      <c r="BD129" s="37"/>
      <c r="BE129" s="37"/>
    </row>
    <row r="130" spans="2:57" s="31" customFormat="1" ht="15.5" x14ac:dyDescent="0.3">
      <c r="B130" s="164" t="s">
        <v>337</v>
      </c>
      <c r="C130" s="34"/>
      <c r="D130" s="84"/>
      <c r="E130" s="34"/>
      <c r="G130" s="34"/>
      <c r="H130" s="84"/>
      <c r="J130" s="33"/>
      <c r="K130" s="38"/>
      <c r="L130" s="38"/>
      <c r="M130" s="38"/>
      <c r="N130" s="38"/>
      <c r="O130" s="268"/>
      <c r="Q130" s="35"/>
      <c r="R130" s="61"/>
      <c r="S130" s="36"/>
      <c r="T130" s="108"/>
      <c r="U130" s="36"/>
      <c r="V130" s="36"/>
      <c r="W130" s="36"/>
      <c r="X130" s="36"/>
      <c r="Y130" s="36"/>
      <c r="Z130" s="36"/>
      <c r="AA130" s="36"/>
      <c r="AB130" s="36"/>
      <c r="AC130" s="36"/>
      <c r="AD130" s="36"/>
      <c r="AE130" s="36"/>
      <c r="AF130" s="36"/>
      <c r="AG130" s="36"/>
      <c r="AH130" s="36"/>
      <c r="AI130" s="36"/>
      <c r="AJ130" s="36"/>
      <c r="AK130" s="36"/>
      <c r="AL130" s="36"/>
      <c r="AM130" s="36"/>
      <c r="AN130" s="37"/>
      <c r="AO130" s="37"/>
      <c r="AP130" s="37"/>
      <c r="AQ130" s="37"/>
      <c r="AR130" s="37"/>
      <c r="AS130" s="37"/>
      <c r="AT130" s="37"/>
      <c r="AU130" s="37"/>
      <c r="AV130" s="37"/>
      <c r="AW130" s="37"/>
      <c r="AX130" s="37"/>
      <c r="AY130" s="37"/>
      <c r="AZ130" s="37"/>
      <c r="BA130" s="37"/>
      <c r="BB130" s="37"/>
      <c r="BC130" s="37"/>
      <c r="BD130" s="37"/>
      <c r="BE130" s="37"/>
    </row>
    <row r="131" spans="2:57" s="31" customFormat="1" ht="46.5" x14ac:dyDescent="0.3">
      <c r="B131" s="78" t="s">
        <v>726</v>
      </c>
      <c r="C131" s="395" t="s">
        <v>111</v>
      </c>
      <c r="D131" s="395"/>
      <c r="E131" s="34"/>
      <c r="G131" s="34"/>
      <c r="H131" s="84"/>
      <c r="J131" s="33"/>
      <c r="K131" s="38" t="s">
        <v>329</v>
      </c>
      <c r="L131" s="38" t="s">
        <v>201</v>
      </c>
      <c r="M131" s="38" t="s">
        <v>319</v>
      </c>
      <c r="N131" s="38"/>
      <c r="O131" s="268"/>
      <c r="Q131" s="35"/>
      <c r="R131" s="36" t="s">
        <v>350</v>
      </c>
      <c r="S131" s="36"/>
      <c r="T131" s="108"/>
      <c r="U131" s="36"/>
      <c r="V131" s="36"/>
      <c r="W131" s="36"/>
      <c r="X131" s="36"/>
      <c r="Y131" s="36"/>
      <c r="Z131" s="36"/>
      <c r="AA131" s="36"/>
      <c r="AB131" s="36"/>
      <c r="AC131" s="36"/>
      <c r="AD131" s="36"/>
      <c r="AE131" s="36"/>
      <c r="AF131" s="36"/>
      <c r="AG131" s="36"/>
      <c r="AH131" s="36"/>
      <c r="AI131" s="36"/>
      <c r="AJ131" s="36"/>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7" s="31" customFormat="1" ht="15.5" x14ac:dyDescent="0.3">
      <c r="B132" s="54" t="s">
        <v>599</v>
      </c>
      <c r="C132" s="160"/>
      <c r="D132" s="84" t="str">
        <f>IF(C131=Pudotusvalikot!$J$14,"Yksikkö",IF(C131=Pudotusvalikot!$J$15,Pudotusvalikot!K21,IF(C131=Pudotusvalikot!$J$16,Pudotusvalikot!K22,IF(C131=Pudotusvalikot!$J$17,Pudotusvalikot!K23,IF(C131=Pudotusvalikot!$J$18,Pudotusvalikot!K24,IF(C131=Pudotusvalikot!$J$19,Pudotusvalikot!K25,IF(C131=Pudotusvalikot!$J$20,Pudotusvalikot!K26,IF(C131=Pudotusvalikot!$J$21,Pudotusvalikot!$K$21,IF(C131=Pudotusvalikot!$J$22,Pudotusvalikot!$K$22,IF(C131=Pudotusvalikot!$J$23,Pudotusvalikot!$K$23,IF(C131=Pudotusvalikot!$J$24,Pudotusvalikot!$K$24,IF(C131=Pudotusvalikot!$J$25,Pudotusvalikot!$K$25,IF(C131=Pudotusvalikot!$J$26,Pudotusvalikot!$K$26,IF(C131=Pudotusvalikot!$J$27,Pudotusvalikot!$K$27,IF(C131=Pudotusvalikot!$J$28,Pudotusvalikot!$K$28,"Yksikkö")))))))))))))))</f>
        <v>Yksikkö</v>
      </c>
      <c r="E132" s="34"/>
      <c r="G132" s="34"/>
      <c r="H132" s="84"/>
      <c r="J132" s="33" t="s">
        <v>364</v>
      </c>
      <c r="K132" s="96" t="str">
        <f>IF(ISNUMBER(L132),L132,IF(C131=Pudotusvalikot!$J$14,"--",IF(C131=Pudotusvalikot!$J$15,Materiaalit!$G$79,IF(C131=Pudotusvalikot!$J$16,Materiaalit!$G$80,IF(C131=Pudotusvalikot!$J$17,Materiaalit!$G$81,IF(C131=Pudotusvalikot!$J$18,Materiaalit!$G$82,IF(C131=Pudotusvalikot!$J$19,Materiaalit!$G$83,IF(C131=Pudotusvalikot!$J$20,Materiaalit!$G$84,IF(C131=Pudotusvalikot!$J$21,Materiaalit!$G$85,IF(C131=Pudotusvalikot!$J$22,Materiaalit!$G$86,IF(C131=Pudotusvalikot!$J$23,Materiaalit!$G$87,IF(C131=Pudotusvalikot!$J$24,Materiaalit!$G$88,IF(C131=Pudotusvalikot!$J$25,Materiaalit!$G$89,IF(C131=Pudotusvalikot!$J$26,Materiaalit!$G$90,IF(C131=Pudotusvalikot!$J$27,Materiaalit!$G$91,IF(C131=Pudotusvalikot!$J$28,Materiaalit!$G$92,"Anna kerroin"))))))))))))))))</f>
        <v>--</v>
      </c>
      <c r="L132" s="40"/>
      <c r="M132" s="96" t="str">
        <f>IF(ISNUMBER(P132),P132,IF(C131=Pudotusvalikot!$H$14,"--",IF(C131=Pudotusvalikot!$H$15,Materiaalit!$H$39,IF(C131=Pudotusvalikot!$H$16,Materiaalit!$H$40,IF(C131=Pudotusvalikot!$H$17,Materiaalit!$H$41,IF(C131=Pudotusvalikot!$H$18,Materiaalit!$H$42,IF(C131=Pudotusvalikot!$H$19,Materiaalit!$H$43,IF(C131=Pudotusvalikot!$H$20,Materiaalit!$H$44,IF(C131=Pudotusvalikot!$H$21,Materiaalit!$H$45,IF(C131=Pudotusvalikot!$H$22,Materiaalit!$H$46,IF(C131=Pudotusvalikot!$H$23,Materiaalit!$H$47,IF(C131=Pudotusvalikot!$H$24,Materiaalit!$H$48,IF(C131=Pudotusvalikot!$H$25,Materiaalit!$H$49,IF(C131=Pudotusvalikot!$H$26,Materiaalit!$H$50,IF(C131=Pudotusvalikot!$H$27,Materiaalit!$H$51,IF(C131=Pudotusvalikot!$H$28,Materiaalit!$H$52,"Anna kerroin"))))))))))))))))</f>
        <v>--</v>
      </c>
      <c r="N132" s="42"/>
      <c r="O132" s="267"/>
      <c r="Q132" s="35"/>
      <c r="R132" s="50" t="str">
        <f>IF(NOT(AND(ISNUMBER(K132),ISNUMBER(C132))),"",C132*K132*IF(C131=Pudotusvalikot!$J$14,1,IF(C131=Pudotusvalikot!$J$15,Materiaalit!$K$79,IF(C131=Pudotusvalikot!$J$16,Materiaalit!$K$80,IF(C131=Pudotusvalikot!$J$17,Materiaalit!$K$81,IF(C131=Pudotusvalikot!$J$18,Materiaalit!$K$82,IF(C131=Pudotusvalikot!$J$19,Materiaalit!$K$83,IF(C131=Pudotusvalikot!$J$20,Materiaalit!$K$84,IF(C131=Pudotusvalikot!$J$21,Materiaalit!$K$85,IF(C131=Pudotusvalikot!$J$22,Materiaalit!$K$86,IF(C131=Pudotusvalikot!$J$23,Materiaalit!$K$87,IF(C131=Pudotusvalikot!$J$24,Materiaalit!$K$88,IF(C131=Pudotusvalikot!$J$25,Materiaalit!$K$89,IF(C131=Pudotusvalikot!$J$26,Materiaalit!$K$90,IF(C131=Pudotusvalikot!$J$27,Materiaalit!$K$91,Materiaalit!$K$92)))))))))))))))</f>
        <v/>
      </c>
      <c r="S132" s="102" t="s">
        <v>172</v>
      </c>
      <c r="T132" s="108"/>
      <c r="U132" s="36"/>
      <c r="V132" s="36"/>
      <c r="W132" s="36"/>
      <c r="X132" s="36"/>
      <c r="Y132" s="36"/>
      <c r="Z132" s="36"/>
      <c r="AA132" s="36"/>
      <c r="AB132" s="36"/>
      <c r="AC132" s="36"/>
      <c r="AD132" s="36"/>
      <c r="AE132" s="36"/>
      <c r="AF132" s="36"/>
      <c r="AG132" s="36"/>
      <c r="AH132" s="36"/>
      <c r="AI132" s="36"/>
      <c r="AJ132" s="36"/>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7" s="31" customFormat="1" ht="15.5" x14ac:dyDescent="0.3">
      <c r="B133" s="164" t="s">
        <v>338</v>
      </c>
      <c r="C133" s="34"/>
      <c r="D133" s="84"/>
      <c r="E133" s="34"/>
      <c r="G133" s="34"/>
      <c r="H133" s="84"/>
      <c r="J133" s="33"/>
      <c r="K133" s="38"/>
      <c r="L133" s="38"/>
      <c r="M133" s="38"/>
      <c r="N133" s="38"/>
      <c r="O133" s="268"/>
      <c r="Q133" s="35"/>
      <c r="R133" s="61"/>
      <c r="S133" s="36"/>
      <c r="T133" s="108"/>
      <c r="U133" s="36"/>
      <c r="V133" s="36"/>
      <c r="W133" s="36"/>
      <c r="X133" s="36"/>
      <c r="Y133" s="36"/>
      <c r="Z133" s="36"/>
      <c r="AA133" s="36"/>
      <c r="AB133" s="36"/>
      <c r="AC133" s="36"/>
      <c r="AD133" s="36"/>
      <c r="AE133" s="36"/>
      <c r="AF133" s="36"/>
      <c r="AG133" s="36"/>
      <c r="AH133" s="36"/>
      <c r="AI133" s="36"/>
      <c r="AJ133" s="36"/>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7" s="31" customFormat="1" ht="46.5" x14ac:dyDescent="0.3">
      <c r="B134" s="78" t="s">
        <v>726</v>
      </c>
      <c r="C134" s="395" t="s">
        <v>111</v>
      </c>
      <c r="D134" s="395"/>
      <c r="E134" s="34"/>
      <c r="G134" s="34"/>
      <c r="H134" s="84"/>
      <c r="J134" s="33"/>
      <c r="K134" s="38" t="s">
        <v>329</v>
      </c>
      <c r="L134" s="38" t="s">
        <v>201</v>
      </c>
      <c r="M134" s="38" t="s">
        <v>319</v>
      </c>
      <c r="N134" s="38"/>
      <c r="O134" s="268"/>
      <c r="Q134" s="35"/>
      <c r="R134" s="36" t="s">
        <v>350</v>
      </c>
      <c r="S134" s="36"/>
      <c r="T134" s="108"/>
      <c r="U134" s="36"/>
      <c r="V134" s="36"/>
      <c r="W134" s="36"/>
      <c r="X134" s="36"/>
      <c r="Y134" s="36"/>
      <c r="Z134" s="36"/>
      <c r="AA134" s="36"/>
      <c r="AB134" s="36"/>
      <c r="AC134" s="36"/>
      <c r="AD134" s="36"/>
      <c r="AE134" s="36"/>
      <c r="AF134" s="36"/>
      <c r="AG134" s="36"/>
      <c r="AH134" s="36"/>
      <c r="AI134" s="36"/>
      <c r="AJ134" s="36"/>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7" s="31" customFormat="1" ht="15.5" x14ac:dyDescent="0.3">
      <c r="B135" s="54" t="s">
        <v>599</v>
      </c>
      <c r="C135" s="160"/>
      <c r="D135" s="84" t="str">
        <f>IF(C134=Pudotusvalikot!$J$14,"Yksikkö",IF(C134=Pudotusvalikot!$J$15,Pudotusvalikot!K24,IF(C134=Pudotusvalikot!$J$16,Pudotusvalikot!K25,IF(C134=Pudotusvalikot!$J$17,Pudotusvalikot!K26,IF(C134=Pudotusvalikot!$J$18,Pudotusvalikot!K27,IF(C134=Pudotusvalikot!$J$19,Pudotusvalikot!K28,IF(C134=Pudotusvalikot!$J$20,Pudotusvalikot!K29,IF(C134=Pudotusvalikot!$J$21,Pudotusvalikot!$K$21,IF(C134=Pudotusvalikot!$J$22,Pudotusvalikot!$K$22,IF(C134=Pudotusvalikot!$J$23,Pudotusvalikot!$K$23,IF(C134=Pudotusvalikot!$J$24,Pudotusvalikot!$K$24,IF(C134=Pudotusvalikot!$J$25,Pudotusvalikot!$K$25,IF(C134=Pudotusvalikot!$J$26,Pudotusvalikot!$K$26,IF(C134=Pudotusvalikot!$J$27,Pudotusvalikot!$K$27,IF(C134=Pudotusvalikot!$J$28,Pudotusvalikot!$K$28,"Yksikkö")))))))))))))))</f>
        <v>Yksikkö</v>
      </c>
      <c r="E135" s="34"/>
      <c r="F135" s="34"/>
      <c r="G135" s="34"/>
      <c r="H135" s="84"/>
      <c r="J135" s="33" t="s">
        <v>364</v>
      </c>
      <c r="K135" s="96" t="str">
        <f>IF(ISNUMBER(L135),L135,IF(C134=Pudotusvalikot!$J$14,"--",IF(C134=Pudotusvalikot!$J$15,Materiaalit!$G$79,IF(C134=Pudotusvalikot!$J$16,Materiaalit!$G$80,IF(C134=Pudotusvalikot!$J$17,Materiaalit!$G$81,IF(C134=Pudotusvalikot!$J$18,Materiaalit!$G$82,IF(C134=Pudotusvalikot!$J$19,Materiaalit!$G$83,IF(C134=Pudotusvalikot!$J$20,Materiaalit!$G$84,IF(C134=Pudotusvalikot!$J$21,Materiaalit!$G$85,IF(C134=Pudotusvalikot!$J$22,Materiaalit!$G$86,IF(C134=Pudotusvalikot!$J$23,Materiaalit!$G$87,IF(C134=Pudotusvalikot!$J$24,Materiaalit!$G$88,IF(C134=Pudotusvalikot!$J$25,Materiaalit!$G$89,IF(C134=Pudotusvalikot!$J$26,Materiaalit!$G$90,IF(C134=Pudotusvalikot!$J$27,Materiaalit!$G$91,IF(C134=Pudotusvalikot!$J$28,Materiaalit!$G$92,"Anna kerroin"))))))))))))))))</f>
        <v>--</v>
      </c>
      <c r="L135" s="40"/>
      <c r="M135" s="96" t="str">
        <f>IF(ISNUMBER(P135),P135,IF(C134=Pudotusvalikot!$H$14,"--",IF(C134=Pudotusvalikot!$H$15,Materiaalit!$H$39,IF(C134=Pudotusvalikot!$H$16,Materiaalit!$H$40,IF(C134=Pudotusvalikot!$H$17,Materiaalit!$H$41,IF(C134=Pudotusvalikot!$H$18,Materiaalit!$H$42,IF(C134=Pudotusvalikot!$H$19,Materiaalit!$H$43,IF(C134=Pudotusvalikot!$H$20,Materiaalit!$H$44,IF(C134=Pudotusvalikot!$H$21,Materiaalit!$H$45,IF(C134=Pudotusvalikot!$H$22,Materiaalit!$H$46,IF(C134=Pudotusvalikot!$H$23,Materiaalit!$H$47,IF(C134=Pudotusvalikot!$H$24,Materiaalit!$H$48,IF(C134=Pudotusvalikot!$H$25,Materiaalit!$H$49,IF(C134=Pudotusvalikot!$H$26,Materiaalit!$H$50,IF(C134=Pudotusvalikot!$H$27,Materiaalit!$H$51,IF(C134=Pudotusvalikot!$H$28,Materiaalit!$H$52,"Anna kerroin"))))))))))))))))</f>
        <v>--</v>
      </c>
      <c r="N135" s="42"/>
      <c r="O135" s="267"/>
      <c r="Q135" s="35"/>
      <c r="R135" s="50" t="str">
        <f>IF(NOT(AND(ISNUMBER(K135),ISNUMBER(C135))),"",C135*K135*IF(C134=Pudotusvalikot!$J$14,1,IF(C134=Pudotusvalikot!$J$15,Materiaalit!$K$79,IF(C134=Pudotusvalikot!$J$16,Materiaalit!$K$80,IF(C134=Pudotusvalikot!$J$17,Materiaalit!$K$81,IF(C134=Pudotusvalikot!$J$18,Materiaalit!$K$82,IF(C134=Pudotusvalikot!$J$19,Materiaalit!$K$83,IF(C134=Pudotusvalikot!$J$20,Materiaalit!$K$84,IF(C134=Pudotusvalikot!$J$21,Materiaalit!$K$85,IF(C134=Pudotusvalikot!$J$22,Materiaalit!$K$86,IF(C134=Pudotusvalikot!$J$23,Materiaalit!$K$87,IF(C134=Pudotusvalikot!$J$24,Materiaalit!$K$88,IF(C134=Pudotusvalikot!$J$25,Materiaalit!$K$89,IF(C134=Pudotusvalikot!$J$26,Materiaalit!$K$90,IF(C134=Pudotusvalikot!$J$27,Materiaalit!$K$91,Materiaalit!$K$92)))))))))))))))</f>
        <v/>
      </c>
      <c r="S135" s="102" t="s">
        <v>172</v>
      </c>
      <c r="T135" s="108"/>
      <c r="U135" s="36"/>
      <c r="V135" s="36"/>
      <c r="W135" s="36"/>
      <c r="X135" s="36"/>
      <c r="Y135" s="36"/>
      <c r="Z135" s="36"/>
      <c r="AA135" s="36"/>
      <c r="AB135" s="36"/>
      <c r="AC135" s="36"/>
      <c r="AD135" s="36"/>
      <c r="AE135" s="36"/>
      <c r="AF135" s="36"/>
      <c r="AG135" s="36"/>
      <c r="AH135" s="36"/>
      <c r="AI135" s="36"/>
      <c r="AJ135" s="36"/>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7" s="31" customFormat="1" ht="15.5" x14ac:dyDescent="0.3">
      <c r="B136" s="164" t="s">
        <v>339</v>
      </c>
      <c r="C136" s="34"/>
      <c r="D136" s="84"/>
      <c r="E136" s="34"/>
      <c r="G136" s="34"/>
      <c r="H136" s="84"/>
      <c r="J136" s="33"/>
      <c r="K136" s="38"/>
      <c r="L136" s="38"/>
      <c r="M136" s="38"/>
      <c r="N136" s="38"/>
      <c r="O136" s="268"/>
      <c r="Q136" s="35"/>
      <c r="R136" s="61"/>
      <c r="S136" s="36"/>
      <c r="T136" s="108"/>
      <c r="U136" s="36"/>
      <c r="V136" s="36"/>
      <c r="W136" s="36"/>
      <c r="X136" s="36"/>
      <c r="Y136" s="36"/>
      <c r="Z136" s="36"/>
      <c r="AA136" s="36"/>
      <c r="AB136" s="36"/>
      <c r="AC136" s="36"/>
      <c r="AD136" s="36"/>
      <c r="AE136" s="36"/>
      <c r="AF136" s="36"/>
      <c r="AG136" s="36"/>
      <c r="AH136" s="36"/>
      <c r="AI136" s="36"/>
      <c r="AJ136" s="36"/>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7" s="31" customFormat="1" ht="46.5" x14ac:dyDescent="0.3">
      <c r="B137" s="78" t="s">
        <v>726</v>
      </c>
      <c r="C137" s="395" t="s">
        <v>111</v>
      </c>
      <c r="D137" s="395"/>
      <c r="E137" s="34"/>
      <c r="G137" s="34"/>
      <c r="H137" s="84"/>
      <c r="J137" s="33"/>
      <c r="K137" s="38" t="s">
        <v>329</v>
      </c>
      <c r="L137" s="38" t="s">
        <v>201</v>
      </c>
      <c r="M137" s="38" t="s">
        <v>319</v>
      </c>
      <c r="N137" s="38"/>
      <c r="O137" s="268"/>
      <c r="Q137" s="35"/>
      <c r="R137" s="36" t="s">
        <v>350</v>
      </c>
      <c r="S137" s="36"/>
      <c r="T137" s="108"/>
      <c r="U137" s="36"/>
      <c r="V137" s="36"/>
      <c r="W137" s="36"/>
      <c r="X137" s="36"/>
      <c r="Y137" s="36"/>
      <c r="Z137" s="36"/>
      <c r="AA137" s="36"/>
      <c r="AB137" s="36"/>
      <c r="AC137" s="36"/>
      <c r="AD137" s="36"/>
      <c r="AE137" s="36"/>
      <c r="AF137" s="36"/>
      <c r="AG137" s="36"/>
      <c r="AH137" s="36"/>
      <c r="AI137" s="36"/>
      <c r="AJ137" s="36"/>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7" s="31" customFormat="1" ht="15.5" x14ac:dyDescent="0.3">
      <c r="B138" s="54" t="s">
        <v>599</v>
      </c>
      <c r="C138" s="160"/>
      <c r="D138" s="84" t="str">
        <f>IF(C137=Pudotusvalikot!$J$14,"Yksikkö",IF(C137=Pudotusvalikot!$J$15,Pudotusvalikot!K27,IF(C137=Pudotusvalikot!$J$16,Pudotusvalikot!K28,IF(C137=Pudotusvalikot!$J$17,Pudotusvalikot!K29,IF(C137=Pudotusvalikot!$J$18,Pudotusvalikot!K30,IF(C137=Pudotusvalikot!$J$19,Pudotusvalikot!K31,IF(C137=Pudotusvalikot!$J$20,Pudotusvalikot!K32,IF(C137=Pudotusvalikot!$J$21,Pudotusvalikot!$K$21,IF(C137=Pudotusvalikot!$J$22,Pudotusvalikot!$K$22,IF(C137=Pudotusvalikot!$J$23,Pudotusvalikot!$K$23,IF(C137=Pudotusvalikot!$J$24,Pudotusvalikot!$K$24,IF(C137=Pudotusvalikot!$J$25,Pudotusvalikot!$K$25,IF(C137=Pudotusvalikot!$J$26,Pudotusvalikot!$K$26,IF(C137=Pudotusvalikot!$J$27,Pudotusvalikot!$K$27,IF(C137=Pudotusvalikot!$J$28,Pudotusvalikot!$K$28,"Yksikkö")))))))))))))))</f>
        <v>Yksikkö</v>
      </c>
      <c r="E138" s="34"/>
      <c r="G138" s="34"/>
      <c r="H138" s="84"/>
      <c r="J138" s="33" t="s">
        <v>364</v>
      </c>
      <c r="K138" s="96" t="str">
        <f>IF(ISNUMBER(L138),L138,IF(C137=Pudotusvalikot!$J$14,"--",IF(C137=Pudotusvalikot!$J$15,Materiaalit!$G$79,IF(C137=Pudotusvalikot!$J$16,Materiaalit!$G$80,IF(C137=Pudotusvalikot!$J$17,Materiaalit!$G$81,IF(C137=Pudotusvalikot!$J$18,Materiaalit!$G$82,IF(C137=Pudotusvalikot!$J$19,Materiaalit!$G$83,IF(C137=Pudotusvalikot!$J$20,Materiaalit!$G$84,IF(C137=Pudotusvalikot!$J$21,Materiaalit!$G$85,IF(C137=Pudotusvalikot!$J$22,Materiaalit!$G$86,IF(C137=Pudotusvalikot!$J$23,Materiaalit!$G$87,IF(C137=Pudotusvalikot!$J$24,Materiaalit!$G$88,IF(C137=Pudotusvalikot!$J$25,Materiaalit!$G$89,IF(C137=Pudotusvalikot!$J$26,Materiaalit!$G$90,IF(C137=Pudotusvalikot!$J$27,Materiaalit!$G$91,IF(C137=Pudotusvalikot!$J$28,Materiaalit!$G$92,"Anna kerroin"))))))))))))))))</f>
        <v>--</v>
      </c>
      <c r="L138" s="40"/>
      <c r="M138" s="96" t="str">
        <f>IF(ISNUMBER(P138),P138,IF(C137=Pudotusvalikot!$H$14,"--",IF(C137=Pudotusvalikot!$H$15,Materiaalit!$H$39,IF(C137=Pudotusvalikot!$H$16,Materiaalit!$H$40,IF(C137=Pudotusvalikot!$H$17,Materiaalit!$H$41,IF(C137=Pudotusvalikot!$H$18,Materiaalit!$H$42,IF(C137=Pudotusvalikot!$H$19,Materiaalit!$H$43,IF(C137=Pudotusvalikot!$H$20,Materiaalit!$H$44,IF(C137=Pudotusvalikot!$H$21,Materiaalit!$H$45,IF(C137=Pudotusvalikot!$H$22,Materiaalit!$H$46,IF(C137=Pudotusvalikot!$H$23,Materiaalit!$H$47,IF(C137=Pudotusvalikot!$H$24,Materiaalit!$H$48,IF(C137=Pudotusvalikot!$H$25,Materiaalit!$H$49,IF(C137=Pudotusvalikot!$H$26,Materiaalit!$H$50,IF(C137=Pudotusvalikot!$H$27,Materiaalit!$H$51,IF(C137=Pudotusvalikot!$H$28,Materiaalit!$H$52,"Anna kerroin"))))))))))))))))</f>
        <v>--</v>
      </c>
      <c r="N138" s="42"/>
      <c r="O138" s="267"/>
      <c r="Q138" s="35"/>
      <c r="R138" s="50" t="str">
        <f>IF(NOT(AND(ISNUMBER(K138),ISNUMBER(C138))),"",C138*K138*IF(C137=Pudotusvalikot!$J$14,1,IF(C137=Pudotusvalikot!$J$15,Materiaalit!$K$79,IF(C137=Pudotusvalikot!$J$16,Materiaalit!$K$80,IF(C137=Pudotusvalikot!$J$17,Materiaalit!$K$81,IF(C137=Pudotusvalikot!$J$18,Materiaalit!$K$82,IF(C137=Pudotusvalikot!$J$19,Materiaalit!$K$83,IF(C137=Pudotusvalikot!$J$20,Materiaalit!$K$84,IF(C137=Pudotusvalikot!$J$21,Materiaalit!$K$85,IF(C137=Pudotusvalikot!$J$22,Materiaalit!$K$86,IF(C137=Pudotusvalikot!$J$23,Materiaalit!$K$87,IF(C137=Pudotusvalikot!$J$24,Materiaalit!$K$88,IF(C137=Pudotusvalikot!$J$25,Materiaalit!$K$89,IF(C137=Pudotusvalikot!$J$26,Materiaalit!$K$90,IF(C137=Pudotusvalikot!$J$27,Materiaalit!$K$91,Materiaalit!$K$92)))))))))))))))</f>
        <v/>
      </c>
      <c r="S138" s="102" t="s">
        <v>172</v>
      </c>
      <c r="T138" s="108"/>
      <c r="U138" s="36"/>
      <c r="V138" s="36"/>
      <c r="W138" s="36"/>
      <c r="X138" s="36"/>
      <c r="Y138" s="36"/>
      <c r="Z138" s="36"/>
      <c r="AA138" s="36"/>
      <c r="AB138" s="36"/>
      <c r="AC138" s="36"/>
      <c r="AD138" s="36"/>
      <c r="AE138" s="36"/>
      <c r="AF138" s="36"/>
      <c r="AG138" s="36"/>
      <c r="AH138" s="36"/>
      <c r="AI138" s="36"/>
      <c r="AJ138" s="36"/>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7" s="31" customFormat="1" ht="15.5" x14ac:dyDescent="0.3">
      <c r="C139" s="34"/>
      <c r="D139" s="84"/>
      <c r="G139" s="34"/>
      <c r="H139" s="84"/>
      <c r="J139" s="33"/>
      <c r="K139" s="34"/>
      <c r="L139" s="34"/>
      <c r="M139" s="84"/>
      <c r="N139" s="84"/>
      <c r="O139" s="84"/>
      <c r="Q139" s="35"/>
      <c r="R139" s="99"/>
      <c r="S139" s="36"/>
      <c r="T139" s="36"/>
      <c r="U139" s="36"/>
      <c r="V139" s="36"/>
      <c r="W139" s="36"/>
      <c r="X139" s="36"/>
      <c r="Y139" s="36"/>
      <c r="Z139" s="36"/>
      <c r="AA139" s="36"/>
      <c r="AB139" s="36"/>
      <c r="AC139" s="36"/>
      <c r="AD139" s="36"/>
      <c r="AE139" s="36"/>
      <c r="AF139" s="36"/>
      <c r="AG139" s="36"/>
      <c r="AH139" s="36"/>
      <c r="AI139" s="36"/>
      <c r="AJ139" s="36"/>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7" s="298" customFormat="1" ht="18" x14ac:dyDescent="0.3">
      <c r="B140" s="295" t="s">
        <v>387</v>
      </c>
      <c r="C140" s="296"/>
      <c r="D140" s="297"/>
      <c r="G140" s="296"/>
      <c r="H140" s="297"/>
      <c r="K140" s="296"/>
      <c r="L140" s="296"/>
      <c r="M140" s="297"/>
      <c r="N140" s="297"/>
      <c r="O140" s="300"/>
      <c r="P140" s="320"/>
      <c r="Q140" s="304"/>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4"/>
      <c r="AO140" s="304"/>
      <c r="AP140" s="304"/>
      <c r="AQ140" s="304"/>
      <c r="AR140" s="304"/>
      <c r="AS140" s="304"/>
      <c r="AT140" s="304"/>
      <c r="AU140" s="304"/>
      <c r="AV140" s="304"/>
      <c r="AW140" s="304"/>
      <c r="AX140" s="304"/>
      <c r="AY140" s="304"/>
      <c r="AZ140" s="304"/>
      <c r="BA140" s="304"/>
      <c r="BB140" s="304"/>
      <c r="BC140" s="304"/>
      <c r="BD140" s="304"/>
      <c r="BE140" s="304"/>
    </row>
    <row r="141" spans="2:57" s="31" customFormat="1" ht="15.5" x14ac:dyDescent="0.3">
      <c r="B141" s="9"/>
      <c r="C141" s="34"/>
      <c r="D141" s="84"/>
      <c r="G141" s="34"/>
      <c r="H141" s="84"/>
      <c r="J141" s="33"/>
      <c r="K141" s="34"/>
      <c r="L141" s="34"/>
      <c r="M141" s="84"/>
      <c r="N141" s="84"/>
      <c r="O141" s="255" t="s">
        <v>644</v>
      </c>
      <c r="Q141" s="35"/>
      <c r="R141" s="99"/>
      <c r="S141" s="36"/>
      <c r="T141" s="36"/>
      <c r="U141" s="36"/>
      <c r="V141" s="36"/>
      <c r="W141" s="36"/>
      <c r="X141" s="36"/>
      <c r="Y141" s="36"/>
      <c r="Z141" s="36"/>
      <c r="AA141" s="36"/>
      <c r="AB141" s="36"/>
      <c r="AC141" s="36"/>
      <c r="AD141" s="36"/>
      <c r="AE141" s="36"/>
      <c r="AF141" s="36"/>
      <c r="AG141" s="36"/>
      <c r="AH141" s="36"/>
      <c r="AI141" s="36"/>
      <c r="AJ141" s="36"/>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7" s="31" customFormat="1" ht="45.75" customHeight="1" x14ac:dyDescent="0.3">
      <c r="B142" s="398" t="s">
        <v>568</v>
      </c>
      <c r="C142" s="398"/>
      <c r="D142" s="398"/>
      <c r="E142" s="398"/>
      <c r="F142" s="398"/>
      <c r="G142" s="398"/>
      <c r="H142" s="398"/>
      <c r="J142" s="33"/>
      <c r="K142" s="42"/>
      <c r="L142" s="42"/>
      <c r="M142" s="41"/>
      <c r="N142" s="41"/>
      <c r="O142" s="256"/>
      <c r="Q142" s="35"/>
      <c r="R142" s="61"/>
      <c r="S142" s="102"/>
      <c r="T142" s="36"/>
      <c r="U142" s="36"/>
      <c r="V142" s="36"/>
      <c r="W142" s="36"/>
      <c r="X142" s="36"/>
      <c r="Y142" s="36"/>
      <c r="Z142" s="36"/>
      <c r="AA142" s="36"/>
      <c r="AB142" s="108"/>
      <c r="AC142" s="36"/>
      <c r="AD142" s="36"/>
      <c r="AE142" s="36"/>
      <c r="AF142" s="36"/>
      <c r="AG142" s="36"/>
      <c r="AH142" s="36"/>
      <c r="AI142" s="36"/>
      <c r="AJ142" s="36"/>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7" s="31" customFormat="1" ht="60.75" customHeight="1" x14ac:dyDescent="0.3">
      <c r="B143" s="398" t="s">
        <v>729</v>
      </c>
      <c r="C143" s="398"/>
      <c r="D143" s="398"/>
      <c r="E143" s="398"/>
      <c r="F143" s="398"/>
      <c r="G143" s="398"/>
      <c r="H143" s="398"/>
      <c r="J143" s="33"/>
      <c r="K143" s="42"/>
      <c r="L143" s="42"/>
      <c r="M143" s="41"/>
      <c r="N143" s="41"/>
      <c r="O143" s="265"/>
      <c r="Q143" s="35"/>
      <c r="R143" s="61"/>
      <c r="S143" s="102"/>
      <c r="T143" s="36"/>
      <c r="U143" s="36"/>
      <c r="V143" s="36"/>
      <c r="W143" s="36"/>
      <c r="X143" s="36"/>
      <c r="Y143" s="36"/>
      <c r="Z143" s="36"/>
      <c r="AA143" s="36"/>
      <c r="AB143" s="108"/>
      <c r="AC143" s="36"/>
      <c r="AD143" s="36"/>
      <c r="AE143" s="36"/>
      <c r="AF143" s="36"/>
      <c r="AG143" s="36"/>
      <c r="AH143" s="36"/>
      <c r="AI143" s="36"/>
      <c r="AJ143" s="36"/>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7" s="31" customFormat="1" ht="15.5" x14ac:dyDescent="0.3">
      <c r="B144" s="9"/>
      <c r="C144" s="34"/>
      <c r="D144" s="84"/>
      <c r="G144" s="34"/>
      <c r="H144" s="84"/>
      <c r="J144" s="33"/>
      <c r="K144" s="34"/>
      <c r="L144" s="34"/>
      <c r="M144" s="84"/>
      <c r="N144" s="84"/>
      <c r="O144" s="100"/>
      <c r="Q144" s="35"/>
      <c r="R144" s="99"/>
      <c r="S144" s="36"/>
      <c r="T144" s="36"/>
      <c r="U144" s="36"/>
      <c r="V144" s="36"/>
      <c r="W144" s="36"/>
      <c r="X144" s="36"/>
      <c r="Y144" s="36"/>
      <c r="Z144" s="36"/>
      <c r="AA144" s="36"/>
      <c r="AB144" s="36"/>
      <c r="AC144" s="36"/>
      <c r="AD144" s="36"/>
      <c r="AE144" s="36"/>
      <c r="AF144" s="36"/>
      <c r="AG144" s="36"/>
      <c r="AH144" s="36"/>
      <c r="AI144" s="36"/>
      <c r="AJ144" s="36"/>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15.5" x14ac:dyDescent="0.3">
      <c r="B145" s="9" t="str">
        <f>B124</f>
        <v>Kemikaali-, tuote- tai materiaalilaji 1</v>
      </c>
      <c r="C145" s="34"/>
      <c r="D145" s="84"/>
      <c r="G145" s="34"/>
      <c r="H145" s="84"/>
      <c r="J145" s="33"/>
      <c r="K145" s="34"/>
      <c r="L145" s="34"/>
      <c r="M145" s="84"/>
      <c r="N145" s="84"/>
      <c r="O145" s="100"/>
      <c r="Q145" s="35"/>
      <c r="R145" s="36" t="s">
        <v>350</v>
      </c>
      <c r="S145" s="36"/>
      <c r="T145" s="36"/>
      <c r="U145" s="36"/>
      <c r="V145" s="36"/>
      <c r="W145" s="36"/>
      <c r="X145" s="36"/>
      <c r="Y145" s="36"/>
      <c r="Z145" s="36"/>
      <c r="AA145" s="36"/>
      <c r="AB145" s="108"/>
      <c r="AC145" s="36"/>
      <c r="AD145" s="36"/>
      <c r="AE145" s="36"/>
      <c r="AF145" s="36"/>
      <c r="AG145" s="36"/>
      <c r="AH145" s="36"/>
      <c r="AI145" s="36"/>
      <c r="AJ145" s="36"/>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5" x14ac:dyDescent="0.3">
      <c r="B146" s="54" t="s">
        <v>375</v>
      </c>
      <c r="C146" s="160"/>
      <c r="D146" s="84" t="s">
        <v>281</v>
      </c>
      <c r="G146" s="34" t="s">
        <v>340</v>
      </c>
      <c r="H146" s="84"/>
      <c r="J146" s="33"/>
      <c r="K146" s="38" t="s">
        <v>329</v>
      </c>
      <c r="L146" s="38" t="s">
        <v>201</v>
      </c>
      <c r="M146" s="84"/>
      <c r="N146" s="84"/>
      <c r="O146" s="100"/>
      <c r="Q146" s="35"/>
      <c r="R146" s="50" t="str">
        <f>IF(AND(ISNUMBER(G147),ISNUMBER(C146)),SUM(R147,R150:R152),"")</f>
        <v/>
      </c>
      <c r="S146" s="102" t="s">
        <v>172</v>
      </c>
      <c r="T146" s="36"/>
      <c r="U146" s="36"/>
      <c r="V146" s="36"/>
      <c r="W146" s="36"/>
      <c r="X146" s="36"/>
      <c r="Y146" s="36"/>
      <c r="Z146" s="36"/>
      <c r="AA146" s="36"/>
      <c r="AB146" s="108"/>
      <c r="AC146" s="36"/>
      <c r="AD146" s="36"/>
      <c r="AE146" s="36"/>
      <c r="AF146" s="36"/>
      <c r="AG146" s="36"/>
      <c r="AH146" s="36"/>
      <c r="AI146" s="36"/>
      <c r="AJ146" s="36"/>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31" customFormat="1" ht="46.5" x14ac:dyDescent="0.3">
      <c r="B147" s="155" t="s">
        <v>728</v>
      </c>
      <c r="C147" s="396" t="s">
        <v>283</v>
      </c>
      <c r="D147" s="397"/>
      <c r="G147" s="156"/>
      <c r="H147" s="84" t="s">
        <v>5</v>
      </c>
      <c r="J147" s="173" t="s">
        <v>441</v>
      </c>
      <c r="K147" s="96">
        <f>IF(ISNUMBER(L147),L147,IF(C147=Pudotusvalikot!$N$4,Kalusto!$G$105,IF(C147=Pudotusvalikot!$N$5,Kalusto!$G$106,IF(C147=Pudotusvalikot!$N$6,Kalusto!$G$107,IF(C147=Pudotusvalikot!$N$7,Kalusto!$G$108,Kalusto!$G$105))))*IF(OR(C149=Pudotusvalikot!$V$3,C149=Pudotusvalikot!$V$4),Muut!$E$38,IF(C149=Pudotusvalikot!$V$5,Muut!$E$39,IF(C149=Pudotusvalikot!$V$6,Muut!$E$40,Muut!$E$41))))</f>
        <v>4.9950000000000001E-2</v>
      </c>
      <c r="L147" s="40"/>
      <c r="M147" s="41" t="s">
        <v>200</v>
      </c>
      <c r="N147" s="41"/>
      <c r="O147" s="265"/>
      <c r="Q147" s="35"/>
      <c r="R147" s="50" t="str">
        <f>IF(ISNUMBER(Y148*X148*K147),Y148*X148*K147,"")</f>
        <v/>
      </c>
      <c r="S147" s="102" t="s">
        <v>172</v>
      </c>
      <c r="T147" s="36" t="s">
        <v>446</v>
      </c>
      <c r="U147" s="36" t="s">
        <v>384</v>
      </c>
      <c r="V147" s="36" t="s">
        <v>443</v>
      </c>
      <c r="W147" s="36" t="s">
        <v>444</v>
      </c>
      <c r="X147" s="36" t="s">
        <v>447</v>
      </c>
      <c r="Y147" s="36" t="s">
        <v>449</v>
      </c>
      <c r="Z147" s="36" t="s">
        <v>374</v>
      </c>
      <c r="AA147" s="36"/>
      <c r="AB147" s="108"/>
      <c r="AC147" s="36"/>
      <c r="AD147" s="36"/>
      <c r="AE147" s="36"/>
      <c r="AF147" s="36"/>
      <c r="AG147" s="36"/>
      <c r="AH147" s="36"/>
      <c r="AI147" s="36"/>
      <c r="AJ147" s="36"/>
      <c r="AK147" s="36"/>
      <c r="AL147" s="36"/>
      <c r="AM147" s="36"/>
      <c r="AN147" s="37"/>
      <c r="AO147" s="37"/>
      <c r="AP147" s="37"/>
      <c r="AQ147" s="37"/>
      <c r="AR147" s="37"/>
      <c r="AS147" s="37"/>
      <c r="AT147" s="37"/>
      <c r="AU147" s="37"/>
      <c r="AV147" s="37"/>
      <c r="AW147" s="37"/>
      <c r="AX147" s="37"/>
      <c r="AY147" s="37"/>
      <c r="AZ147" s="37"/>
      <c r="BA147" s="37"/>
      <c r="BB147" s="37"/>
      <c r="BC147" s="37"/>
      <c r="BD147" s="37"/>
      <c r="BE147" s="37"/>
    </row>
    <row r="148" spans="2:57" s="31" customFormat="1" ht="31" x14ac:dyDescent="0.3">
      <c r="B148" s="78" t="s">
        <v>530</v>
      </c>
      <c r="C148" s="392" t="s">
        <v>93</v>
      </c>
      <c r="D148" s="393"/>
      <c r="E148" s="393"/>
      <c r="F148" s="393"/>
      <c r="G148" s="394"/>
      <c r="J148" s="33"/>
      <c r="K148" s="38" t="s">
        <v>329</v>
      </c>
      <c r="L148" s="38" t="s">
        <v>201</v>
      </c>
      <c r="M148" s="41"/>
      <c r="N148" s="41"/>
      <c r="O148" s="265"/>
      <c r="Q148" s="47"/>
      <c r="R148" s="108"/>
      <c r="S148" s="36"/>
      <c r="T148" s="48" t="str">
        <f>IF(ISNUMBER(L147),"Kohdetieto",IF(OR(C148=Pudotusvalikot!$D$14,C148=Pudotusvalikot!$D$15),Kalusto!$I$96,VLOOKUP(C148,Kalusto!$C$44:$L$83,7,FALSE)))</f>
        <v>Puoliperävaunu</v>
      </c>
      <c r="U148" s="48">
        <f>IF(ISNUMBER(L147),"Kohdetieto",IF(OR(C148=Pudotusvalikot!$D$14,C148=Pudotusvalikot!$D$15),Kalusto!$J$96,VLOOKUP(C148,Kalusto!$C$44:$L$83,8,FALSE)))</f>
        <v>40</v>
      </c>
      <c r="V148" s="49">
        <f>IF(ISNUMBER(L147),"Kohdetieto",IF(OR(C148=Pudotusvalikot!$D$14,C148=Pudotusvalikot!$D$15),Kalusto!$K$96,VLOOKUP(C148,Kalusto!$C$44:$L$83,9,FALSE)))</f>
        <v>0.8</v>
      </c>
      <c r="W148" s="49" t="str">
        <f>IF(ISNUMBER(L147),"Kohdetieto",IF(OR(C148=Pudotusvalikot!$D$14,C148=Pudotusvalikot!$D$15),Kalusto!$L$96,VLOOKUP(C148,Kalusto!$C$44:$L$83,10,FALSE)))</f>
        <v>maantieajo</v>
      </c>
      <c r="X148" s="50" t="str">
        <f>IF(ISBLANK(C146),"",C146/1000)</f>
        <v/>
      </c>
      <c r="Y148" s="48" t="str">
        <f>IF(ISNUMBER(G147),G147,"")</f>
        <v/>
      </c>
      <c r="Z148" s="51">
        <f>IF(ISNUMBER(L147),L147,K147)</f>
        <v>4.9950000000000001E-2</v>
      </c>
      <c r="AA148" s="36"/>
      <c r="AB148" s="108"/>
      <c r="AC148" s="36"/>
      <c r="AD148" s="36"/>
      <c r="AE148" s="36"/>
      <c r="AF148" s="36"/>
      <c r="AG148" s="36"/>
      <c r="AH148" s="36"/>
      <c r="AI148" s="36"/>
      <c r="AJ148" s="36"/>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7" s="31" customFormat="1" ht="15.5" x14ac:dyDescent="0.3">
      <c r="B149" s="78" t="s">
        <v>506</v>
      </c>
      <c r="C149" s="160" t="s">
        <v>242</v>
      </c>
      <c r="D149" s="34"/>
      <c r="E149" s="34"/>
      <c r="F149" s="34"/>
      <c r="G149" s="34"/>
      <c r="H149" s="59"/>
      <c r="J149" s="173"/>
      <c r="K149" s="173"/>
      <c r="L149" s="173"/>
      <c r="M149" s="41"/>
      <c r="N149" s="41"/>
      <c r="O149" s="265"/>
      <c r="Q149" s="47"/>
      <c r="R149" s="36"/>
      <c r="S149" s="36"/>
      <c r="T149" s="36"/>
      <c r="U149" s="36"/>
      <c r="V149" s="181"/>
      <c r="W149" s="181"/>
      <c r="X149" s="61"/>
      <c r="Y149" s="36"/>
      <c r="Z149" s="61"/>
      <c r="AA149" s="182"/>
      <c r="AB149" s="61"/>
      <c r="AC149" s="61"/>
      <c r="AD149" s="61"/>
      <c r="AE149" s="61"/>
      <c r="AF149" s="182"/>
      <c r="AG149" s="61"/>
      <c r="AH149" s="36"/>
      <c r="AI149" s="36"/>
      <c r="AJ149" s="36"/>
      <c r="AK149" s="108"/>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15.5" x14ac:dyDescent="0.3">
      <c r="B150" s="155" t="s">
        <v>542</v>
      </c>
      <c r="C150" s="395" t="s">
        <v>283</v>
      </c>
      <c r="D150" s="395"/>
      <c r="E150" s="169"/>
      <c r="G150" s="156"/>
      <c r="H150" s="84" t="s">
        <v>5</v>
      </c>
      <c r="J150" s="33" t="str">
        <f>IF(C150="Kuljetus","Ei oletusta","Oletus (" &amp; IF(C150="Tiekuljetus",Kalusto!$C$105,IF(C150="Raidekuljetus",Kalusto!$C$106,IF(C150="Laivarahti",Kalusto!$C$107,Kalusto!$C$108))) &amp; ")" )</f>
        <v>Oletus (Puoliperävaunuyhdistelmä, 40 t, 100 % kuorma, maantieajo)</v>
      </c>
      <c r="K150" s="96">
        <f>IF(ISNUMBER(L150),L150,IF(C150=Pudotusvalikot!$N$4,Kalusto!$G$105,IF(C150=Pudotusvalikot!$N$5,Kalusto!$G$106,IF(C150=Pudotusvalikot!$N$6,Kalusto!$G$107,IF(C150=Pudotusvalikot!$N$7,Kalusto!$G$108,Kalusto!$G$105)))))</f>
        <v>4.9950000000000001E-2</v>
      </c>
      <c r="L150" s="40"/>
      <c r="M150" s="41" t="s">
        <v>200</v>
      </c>
      <c r="N150" s="41"/>
      <c r="O150" s="265"/>
      <c r="Q150" s="35"/>
      <c r="R150" s="50" t="str">
        <f>IF(AND(ISNUMBER(G147)*ISNUMBER(C146)),K150*G150*C146,"")</f>
        <v/>
      </c>
      <c r="S150" s="102" t="s">
        <v>172</v>
      </c>
      <c r="T150" s="36"/>
      <c r="U150" s="36"/>
      <c r="V150" s="36"/>
      <c r="W150" s="36"/>
      <c r="X150" s="36"/>
      <c r="Y150" s="36"/>
      <c r="Z150" s="36"/>
      <c r="AA150" s="36"/>
      <c r="AB150" s="108"/>
      <c r="AC150" s="36"/>
      <c r="AD150" s="36"/>
      <c r="AE150" s="36"/>
      <c r="AF150" s="36"/>
      <c r="AG150" s="36"/>
      <c r="AH150" s="36"/>
      <c r="AI150" s="36"/>
      <c r="AJ150" s="36"/>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15.5" x14ac:dyDescent="0.3">
      <c r="B151" s="155" t="s">
        <v>542</v>
      </c>
      <c r="C151" s="395" t="s">
        <v>284</v>
      </c>
      <c r="D151" s="395"/>
      <c r="E151" s="169"/>
      <c r="G151" s="156"/>
      <c r="H151" s="84" t="s">
        <v>5</v>
      </c>
      <c r="J151" s="33" t="str">
        <f>IF(C151="Kuljetus","Ei oletusta","Oletus (" &amp; IF(C151="Tiekuljetus",Kalusto!$C$105,IF(C151="Raidekuljetus",Kalusto!$C$106,IF(C151="Laivarahti",Kalusto!$C$107,Kalusto!$C$108))) &amp; ")" )</f>
        <v>Oletus (Merikuljetus, konttilaiva, 1000 TEU)</v>
      </c>
      <c r="K151" s="96">
        <f>IF(ISNUMBER(L151),L151,IF(C151=Pudotusvalikot!$N$4,Kalusto!$G$105,IF(C151=Pudotusvalikot!$N$5,Kalusto!$G$106,IF(C151=Pudotusvalikot!$N$6,Kalusto!$G$107,IF(C151=Pudotusvalikot!$N$7,Kalusto!$G$108,"--")))))</f>
        <v>4.4999999999999998E-2</v>
      </c>
      <c r="L151" s="40"/>
      <c r="M151" s="41" t="s">
        <v>200</v>
      </c>
      <c r="N151" s="41"/>
      <c r="O151" s="265"/>
      <c r="Q151" s="35"/>
      <c r="R151" s="50" t="str">
        <f>IF(AND(ISNUMBER(G147)*ISNUMBER(C146)),K151*G151*C146,"")</f>
        <v/>
      </c>
      <c r="S151" s="102" t="s">
        <v>172</v>
      </c>
      <c r="T151" s="36"/>
      <c r="U151" s="36"/>
      <c r="V151" s="36"/>
      <c r="W151" s="36"/>
      <c r="X151" s="36"/>
      <c r="Y151" s="36"/>
      <c r="Z151" s="36"/>
      <c r="AA151" s="36"/>
      <c r="AB151" s="108"/>
      <c r="AC151" s="36"/>
      <c r="AD151" s="36"/>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5" x14ac:dyDescent="0.3">
      <c r="B152" s="155" t="s">
        <v>542</v>
      </c>
      <c r="C152" s="395" t="s">
        <v>283</v>
      </c>
      <c r="D152" s="395"/>
      <c r="E152" s="169"/>
      <c r="G152" s="156"/>
      <c r="H152" s="84" t="s">
        <v>5</v>
      </c>
      <c r="J152" s="33" t="str">
        <f>IF(C152="Kuljetus","Ei oletusta","Oletus (" &amp; IF(C152="Tiekuljetus",Kalusto!$C$105,IF(C152="Raidekuljetus",Kalusto!$C$106,IF(C152="Laivarahti",Kalusto!$C$107,Kalusto!$C$108))) &amp; ")" )</f>
        <v>Oletus (Puoliperävaunuyhdistelmä, 40 t, 100 % kuorma, maantieajo)</v>
      </c>
      <c r="K152" s="96">
        <f>IF(ISNUMBER(L152),L152,IF(C152=Pudotusvalikot!$N$4,Kalusto!$G$105,IF(C152=Pudotusvalikot!$N$5,Kalusto!$G$106,IF(C152=Pudotusvalikot!$N$6,Kalusto!$G$107,IF(C152=Pudotusvalikot!$N$7,Kalusto!$G$108,"--")))))</f>
        <v>4.9950000000000001E-2</v>
      </c>
      <c r="L152" s="40"/>
      <c r="M152" s="41" t="s">
        <v>200</v>
      </c>
      <c r="N152" s="41"/>
      <c r="O152" s="265"/>
      <c r="Q152" s="35"/>
      <c r="R152" s="50" t="str">
        <f>IF(AND(ISNUMBER(G147)*ISNUMBER(C146)),K152*G152*C146,"")</f>
        <v/>
      </c>
      <c r="S152" s="102" t="s">
        <v>172</v>
      </c>
      <c r="T152" s="36"/>
      <c r="U152" s="36"/>
      <c r="V152" s="36"/>
      <c r="W152" s="36"/>
      <c r="X152" s="36"/>
      <c r="Y152" s="36"/>
      <c r="Z152" s="36"/>
      <c r="AA152" s="36"/>
      <c r="AB152" s="108"/>
      <c r="AC152" s="36"/>
      <c r="AD152" s="36"/>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5" x14ac:dyDescent="0.3">
      <c r="B153" s="9" t="str">
        <f>B127</f>
        <v>Kemikaali-, tuote- tai materiaalilaji 2</v>
      </c>
      <c r="C153" s="34"/>
      <c r="D153" s="84"/>
      <c r="G153" s="72"/>
      <c r="H153" s="84"/>
      <c r="J153" s="33"/>
      <c r="K153" s="34"/>
      <c r="L153" s="34"/>
      <c r="M153" s="84"/>
      <c r="N153" s="84"/>
      <c r="O153" s="100"/>
      <c r="Q153" s="35"/>
      <c r="R153" s="36" t="s">
        <v>350</v>
      </c>
      <c r="S153" s="36"/>
      <c r="T153" s="36"/>
      <c r="U153" s="36"/>
      <c r="V153" s="36"/>
      <c r="W153" s="36"/>
      <c r="X153" s="36"/>
      <c r="Y153" s="36"/>
      <c r="Z153" s="36"/>
      <c r="AA153" s="36"/>
      <c r="AB153" s="108"/>
      <c r="AC153" s="36"/>
      <c r="AD153" s="36"/>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15.5" x14ac:dyDescent="0.3">
      <c r="B154" s="54" t="s">
        <v>375</v>
      </c>
      <c r="C154" s="160"/>
      <c r="D154" s="84" t="s">
        <v>281</v>
      </c>
      <c r="G154" s="34"/>
      <c r="H154" s="84"/>
      <c r="J154" s="33"/>
      <c r="K154" s="38" t="s">
        <v>329</v>
      </c>
      <c r="L154" s="38" t="s">
        <v>201</v>
      </c>
      <c r="M154" s="84"/>
      <c r="N154" s="84"/>
      <c r="O154" s="100"/>
      <c r="Q154" s="35"/>
      <c r="R154" s="50" t="str">
        <f>IF(AND(ISNUMBER(G155),ISNUMBER(C154)),SUM(R155,R158:R160),"")</f>
        <v/>
      </c>
      <c r="S154" s="102" t="s">
        <v>172</v>
      </c>
      <c r="T154" s="36"/>
      <c r="U154" s="36"/>
      <c r="V154" s="36"/>
      <c r="W154" s="36"/>
      <c r="X154" s="36"/>
      <c r="Y154" s="36"/>
      <c r="Z154" s="36"/>
      <c r="AA154" s="36"/>
      <c r="AB154" s="108"/>
      <c r="AC154" s="36"/>
      <c r="AD154" s="36"/>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46.5" x14ac:dyDescent="0.3">
      <c r="B155" s="155" t="s">
        <v>728</v>
      </c>
      <c r="C155" s="396" t="s">
        <v>283</v>
      </c>
      <c r="D155" s="397"/>
      <c r="G155" s="156"/>
      <c r="H155" s="84" t="s">
        <v>5</v>
      </c>
      <c r="J155" s="173" t="s">
        <v>441</v>
      </c>
      <c r="K155" s="96">
        <f>IF(ISNUMBER(L155),L155,IF(C155=Pudotusvalikot!$N$4,Kalusto!$G$105,IF(C155=Pudotusvalikot!$N$5,Kalusto!$G$106,IF(C155=Pudotusvalikot!$N$6,Kalusto!$G$107,IF(C155=Pudotusvalikot!$N$7,Kalusto!$G$108,Kalusto!$G$105))))*IF(OR(C157=Pudotusvalikot!$V$3,C157=Pudotusvalikot!$V$4),Muut!$E$38,IF(C157=Pudotusvalikot!$V$5,Muut!$E$39,IF(C157=Pudotusvalikot!$V$6,Muut!$E$40,Muut!$E$41))))</f>
        <v>4.9950000000000001E-2</v>
      </c>
      <c r="L155" s="40"/>
      <c r="M155" s="41" t="s">
        <v>200</v>
      </c>
      <c r="N155" s="41"/>
      <c r="O155" s="265"/>
      <c r="Q155" s="35"/>
      <c r="R155" s="50" t="str">
        <f>IF(ISNUMBER(Y156*X156*K155),Y156*X156*K155,"")</f>
        <v/>
      </c>
      <c r="S155" s="102" t="s">
        <v>172</v>
      </c>
      <c r="T155" s="36" t="s">
        <v>446</v>
      </c>
      <c r="U155" s="36" t="s">
        <v>384</v>
      </c>
      <c r="V155" s="36" t="s">
        <v>443</v>
      </c>
      <c r="W155" s="36" t="s">
        <v>444</v>
      </c>
      <c r="X155" s="36" t="s">
        <v>447</v>
      </c>
      <c r="Y155" s="36" t="s">
        <v>449</v>
      </c>
      <c r="Z155" s="36" t="s">
        <v>374</v>
      </c>
      <c r="AA155" s="36"/>
      <c r="AB155" s="108"/>
      <c r="AC155" s="36"/>
      <c r="AD155" s="36"/>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15.5" x14ac:dyDescent="0.3">
      <c r="B156" s="78" t="s">
        <v>377</v>
      </c>
      <c r="C156" s="392" t="s">
        <v>93</v>
      </c>
      <c r="D156" s="393"/>
      <c r="E156" s="393"/>
      <c r="F156" s="393"/>
      <c r="G156" s="394"/>
      <c r="J156" s="33"/>
      <c r="K156" s="38" t="s">
        <v>329</v>
      </c>
      <c r="L156" s="38" t="s">
        <v>201</v>
      </c>
      <c r="M156" s="41"/>
      <c r="N156" s="41"/>
      <c r="O156" s="265"/>
      <c r="Q156" s="47"/>
      <c r="R156" s="108"/>
      <c r="S156" s="36"/>
      <c r="T156" s="48" t="str">
        <f>IF(ISNUMBER(L155),"Kohdetieto",IF(OR(C156=Pudotusvalikot!$D$14,C156=Pudotusvalikot!$D$15),Kalusto!$I$96,VLOOKUP(C156,Kalusto!$C$44:$L$83,7,FALSE)))</f>
        <v>Puoliperävaunu</v>
      </c>
      <c r="U156" s="48">
        <f>IF(ISNUMBER(L155),"Kohdetieto",IF(OR(C156=Pudotusvalikot!$D$14,C156=Pudotusvalikot!$D$15),Kalusto!$J$96,VLOOKUP(C156,Kalusto!$C$44:$L$83,8,FALSE)))</f>
        <v>40</v>
      </c>
      <c r="V156" s="49">
        <f>IF(ISNUMBER(L155),"Kohdetieto",IF(OR(C156=Pudotusvalikot!$D$14,C156=Pudotusvalikot!$D$15),Kalusto!$K$96,VLOOKUP(C156,Kalusto!$C$44:$L$83,9,FALSE)))</f>
        <v>0.8</v>
      </c>
      <c r="W156" s="49" t="str">
        <f>IF(ISNUMBER(L155),"Kohdetieto",IF(OR(C156=Pudotusvalikot!$D$14,C156=Pudotusvalikot!$D$15),Kalusto!$L$96,VLOOKUP(C156,Kalusto!$C$44:$L$83,10,FALSE)))</f>
        <v>maantieajo</v>
      </c>
      <c r="X156" s="50" t="str">
        <f>IF(ISBLANK(C154),"",C154/1000)</f>
        <v/>
      </c>
      <c r="Y156" s="48" t="str">
        <f>IF(ISNUMBER(G155),G155,"")</f>
        <v/>
      </c>
      <c r="Z156" s="51">
        <f>IF(ISNUMBER(L155),L155,K155)</f>
        <v>4.9950000000000001E-2</v>
      </c>
      <c r="AA156" s="36"/>
      <c r="AB156" s="108"/>
      <c r="AC156" s="36"/>
      <c r="AD156" s="36"/>
      <c r="AE156" s="36"/>
      <c r="AF156" s="36"/>
      <c r="AG156" s="36"/>
      <c r="AH156" s="36"/>
      <c r="AI156" s="36"/>
      <c r="AJ156" s="36"/>
      <c r="AK156" s="36"/>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5" x14ac:dyDescent="0.3">
      <c r="B157" s="78" t="s">
        <v>506</v>
      </c>
      <c r="C157" s="160" t="s">
        <v>242</v>
      </c>
      <c r="D157" s="34"/>
      <c r="E157" s="34"/>
      <c r="F157" s="34"/>
      <c r="G157" s="34"/>
      <c r="H157" s="59"/>
      <c r="J157" s="173"/>
      <c r="K157" s="173"/>
      <c r="L157" s="173"/>
      <c r="M157" s="41"/>
      <c r="N157" s="41"/>
      <c r="O157" s="265"/>
      <c r="Q157" s="47"/>
      <c r="R157" s="36"/>
      <c r="S157" s="36"/>
      <c r="T157" s="36"/>
      <c r="U157" s="36"/>
      <c r="V157" s="181"/>
      <c r="W157" s="181"/>
      <c r="X157" s="61"/>
      <c r="Y157" s="36"/>
      <c r="Z157" s="61"/>
      <c r="AA157" s="182"/>
      <c r="AB157" s="61"/>
      <c r="AC157" s="61"/>
      <c r="AD157" s="61"/>
      <c r="AE157" s="61"/>
      <c r="AF157" s="182"/>
      <c r="AG157" s="61"/>
      <c r="AH157" s="36"/>
      <c r="AI157" s="36"/>
      <c r="AJ157" s="36"/>
      <c r="AK157" s="108"/>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5" x14ac:dyDescent="0.3">
      <c r="B158" s="155" t="s">
        <v>542</v>
      </c>
      <c r="C158" s="395" t="s">
        <v>284</v>
      </c>
      <c r="D158" s="395"/>
      <c r="G158" s="156"/>
      <c r="H158" s="84" t="s">
        <v>5</v>
      </c>
      <c r="J158" s="33" t="str">
        <f>IF(C158="Kuljetus","Ei oletusta","Oletus (" &amp; IF(C158="Tiekuljetus",Kalusto!$C$105,IF(C158="Raidekuljetus",Kalusto!$C$106,IF(C158="Laivarahti",Kalusto!$C$107,Kalusto!$C$108))) &amp; ")" )</f>
        <v>Oletus (Merikuljetus, konttilaiva, 1000 TEU)</v>
      </c>
      <c r="K158" s="96">
        <f>IF(ISNUMBER(L158),L158,IF(C158=Pudotusvalikot!$N$4,Kalusto!$G$105,IF(C158=Pudotusvalikot!$N$5,Kalusto!$G$106,IF(C158=Pudotusvalikot!$N$6,Kalusto!$G$107,IF(C158=Pudotusvalikot!$N$7,Kalusto!$G$108,Kalusto!$G$105)))))</f>
        <v>4.4999999999999998E-2</v>
      </c>
      <c r="L158" s="40"/>
      <c r="M158" s="41" t="s">
        <v>200</v>
      </c>
      <c r="N158" s="41"/>
      <c r="O158" s="265"/>
      <c r="Q158" s="35"/>
      <c r="R158" s="50" t="str">
        <f>IF(AND(ISNUMBER(G155)*ISNUMBER(C154)),K158*G158*C154,"")</f>
        <v/>
      </c>
      <c r="S158" s="102" t="s">
        <v>172</v>
      </c>
      <c r="T158" s="36"/>
      <c r="U158" s="36"/>
      <c r="V158" s="36"/>
      <c r="W158" s="36"/>
      <c r="X158" s="36"/>
      <c r="Y158" s="36"/>
      <c r="Z158" s="36"/>
      <c r="AA158" s="36"/>
      <c r="AB158" s="108"/>
      <c r="AC158" s="36"/>
      <c r="AD158" s="36"/>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5" x14ac:dyDescent="0.3">
      <c r="B159" s="155" t="s">
        <v>542</v>
      </c>
      <c r="C159" s="395" t="s">
        <v>284</v>
      </c>
      <c r="D159" s="395"/>
      <c r="G159" s="156"/>
      <c r="H159" s="84" t="s">
        <v>5</v>
      </c>
      <c r="J159" s="33" t="str">
        <f>IF(C159="Kuljetus","Ei oletusta","Oletus (" &amp; IF(C159="Tiekuljetus",Kalusto!$C$105,IF(C159="Raidekuljetus",Kalusto!$C$106,IF(C159="Laivarahti",Kalusto!$C$107,Kalusto!$C$108))) &amp; ")" )</f>
        <v>Oletus (Merikuljetus, konttilaiva, 1000 TEU)</v>
      </c>
      <c r="K159" s="96">
        <f>IF(ISNUMBER(L159),L159,IF(C159=Pudotusvalikot!$N$4,Kalusto!$G$105,IF(C159=Pudotusvalikot!$N$5,Kalusto!$G$106,IF(C159=Pudotusvalikot!$N$6,Kalusto!$G$107,IF(C159=Pudotusvalikot!$N$7,Kalusto!$G$108,"--")))))</f>
        <v>4.4999999999999998E-2</v>
      </c>
      <c r="L159" s="40"/>
      <c r="M159" s="41" t="s">
        <v>200</v>
      </c>
      <c r="N159" s="41"/>
      <c r="O159" s="265"/>
      <c r="Q159" s="35"/>
      <c r="R159" s="50" t="str">
        <f>IF(AND(ISNUMBER(G155)*ISNUMBER(C154)),K159*G159*C154,"")</f>
        <v/>
      </c>
      <c r="S159" s="102" t="s">
        <v>172</v>
      </c>
      <c r="T159" s="36"/>
      <c r="U159" s="36"/>
      <c r="V159" s="36"/>
      <c r="W159" s="36"/>
      <c r="X159" s="36"/>
      <c r="Y159" s="36"/>
      <c r="Z159" s="36"/>
      <c r="AA159" s="36"/>
      <c r="AB159" s="108"/>
      <c r="AC159" s="36"/>
      <c r="AD159" s="36"/>
      <c r="AE159" s="36"/>
      <c r="AF159" s="36"/>
      <c r="AG159" s="36"/>
      <c r="AH159" s="36"/>
      <c r="AI159" s="36"/>
      <c r="AJ159" s="36"/>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5" x14ac:dyDescent="0.3">
      <c r="B160" s="155" t="s">
        <v>542</v>
      </c>
      <c r="C160" s="395" t="s">
        <v>283</v>
      </c>
      <c r="D160" s="395"/>
      <c r="G160" s="156"/>
      <c r="H160" s="84" t="s">
        <v>5</v>
      </c>
      <c r="J160" s="33" t="str">
        <f>IF(C160="Kuljetus","Ei oletusta","Oletus (" &amp; IF(C160="Tiekuljetus",Kalusto!$C$105,IF(C160="Raidekuljetus",Kalusto!$C$106,IF(C160="Laivarahti",Kalusto!$C$107,Kalusto!$C$108))) &amp; ")" )</f>
        <v>Oletus (Puoliperävaunuyhdistelmä, 40 t, 100 % kuorma, maantieajo)</v>
      </c>
      <c r="K160" s="96">
        <f>IF(ISNUMBER(L160),L160,IF(C160=Pudotusvalikot!$N$4,Kalusto!$G$105,IF(C160=Pudotusvalikot!$N$5,Kalusto!$G$106,IF(C160=Pudotusvalikot!$N$6,Kalusto!$G$107,IF(C160=Pudotusvalikot!$N$7,Kalusto!$G$108,"--")))))</f>
        <v>4.9950000000000001E-2</v>
      </c>
      <c r="L160" s="40"/>
      <c r="M160" s="41" t="s">
        <v>200</v>
      </c>
      <c r="N160" s="41"/>
      <c r="O160" s="265"/>
      <c r="Q160" s="35"/>
      <c r="R160" s="50" t="str">
        <f>IF(AND(ISNUMBER(G155)*ISNUMBER(C154)),K160*G160*C154,"")</f>
        <v/>
      </c>
      <c r="S160" s="102" t="s">
        <v>172</v>
      </c>
      <c r="T160" s="36"/>
      <c r="U160" s="36"/>
      <c r="V160" s="36"/>
      <c r="W160" s="36"/>
      <c r="X160" s="36"/>
      <c r="Y160" s="36"/>
      <c r="Z160" s="36"/>
      <c r="AA160" s="36"/>
      <c r="AB160" s="108"/>
      <c r="AC160" s="36"/>
      <c r="AD160" s="36"/>
      <c r="AE160" s="36"/>
      <c r="AF160" s="36"/>
      <c r="AG160" s="36"/>
      <c r="AH160" s="36"/>
      <c r="AI160" s="36"/>
      <c r="AJ160" s="36"/>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5" x14ac:dyDescent="0.3">
      <c r="B161" s="9" t="str">
        <f>B130</f>
        <v>Kemikaali-, tuote- tai materiaalilaji 3</v>
      </c>
      <c r="C161" s="34"/>
      <c r="D161" s="84"/>
      <c r="G161" s="72"/>
      <c r="H161" s="84"/>
      <c r="J161" s="33"/>
      <c r="K161" s="34"/>
      <c r="L161" s="34"/>
      <c r="M161" s="84"/>
      <c r="N161" s="84"/>
      <c r="O161" s="100"/>
      <c r="Q161" s="35"/>
      <c r="R161" s="36" t="s">
        <v>350</v>
      </c>
      <c r="S161" s="36"/>
      <c r="T161" s="36"/>
      <c r="U161" s="36"/>
      <c r="V161" s="36"/>
      <c r="W161" s="36"/>
      <c r="X161" s="36"/>
      <c r="Y161" s="36"/>
      <c r="Z161" s="36"/>
      <c r="AA161" s="36"/>
      <c r="AB161" s="108"/>
      <c r="AC161" s="36"/>
      <c r="AD161" s="36"/>
      <c r="AE161" s="36"/>
      <c r="AF161" s="36"/>
      <c r="AG161" s="36"/>
      <c r="AH161" s="36"/>
      <c r="AI161" s="36"/>
      <c r="AJ161" s="36"/>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15.5" x14ac:dyDescent="0.3">
      <c r="B162" s="54" t="s">
        <v>375</v>
      </c>
      <c r="C162" s="160"/>
      <c r="D162" s="84" t="s">
        <v>281</v>
      </c>
      <c r="G162" s="34"/>
      <c r="H162" s="84"/>
      <c r="J162" s="33"/>
      <c r="K162" s="38" t="s">
        <v>329</v>
      </c>
      <c r="L162" s="38" t="s">
        <v>201</v>
      </c>
      <c r="M162" s="84"/>
      <c r="N162" s="84"/>
      <c r="O162" s="100"/>
      <c r="Q162" s="35"/>
      <c r="R162" s="50" t="str">
        <f>IF(AND(ISNUMBER(G163),ISNUMBER(C162)),SUM(R163,R166:R168),"")</f>
        <v/>
      </c>
      <c r="S162" s="102" t="s">
        <v>172</v>
      </c>
      <c r="T162" s="36"/>
      <c r="U162" s="36"/>
      <c r="V162" s="36"/>
      <c r="W162" s="36"/>
      <c r="X162" s="36"/>
      <c r="Y162" s="36"/>
      <c r="Z162" s="36"/>
      <c r="AA162" s="36"/>
      <c r="AB162" s="108"/>
      <c r="AC162" s="36"/>
      <c r="AD162" s="36"/>
      <c r="AE162" s="36"/>
      <c r="AF162" s="36"/>
      <c r="AG162" s="36"/>
      <c r="AH162" s="36"/>
      <c r="AI162" s="36"/>
      <c r="AJ162" s="36"/>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46.5" x14ac:dyDescent="0.3">
      <c r="B163" s="155" t="s">
        <v>728</v>
      </c>
      <c r="C163" s="396" t="s">
        <v>283</v>
      </c>
      <c r="D163" s="397"/>
      <c r="G163" s="156"/>
      <c r="H163" s="84" t="s">
        <v>5</v>
      </c>
      <c r="J163" s="173" t="s">
        <v>441</v>
      </c>
      <c r="K163" s="96">
        <f>IF(ISNUMBER(L163),L163,IF(C163=Pudotusvalikot!$N$4,Kalusto!$G$105,IF(C163=Pudotusvalikot!$N$5,Kalusto!$G$106,IF(C163=Pudotusvalikot!$N$6,Kalusto!$G$107,IF(C163=Pudotusvalikot!$N$7,Kalusto!$G$108,Kalusto!$G$105))))*IF(OR(C165=Pudotusvalikot!$V$3,C165=Pudotusvalikot!$V$4),Muut!$E$38,IF(C165=Pudotusvalikot!$V$5,Muut!$E$39,IF(C165=Pudotusvalikot!$V$6,Muut!$E$40,Muut!$E$41))))</f>
        <v>4.9950000000000001E-2</v>
      </c>
      <c r="L163" s="40"/>
      <c r="M163" s="41" t="s">
        <v>200</v>
      </c>
      <c r="N163" s="41"/>
      <c r="O163" s="265"/>
      <c r="Q163" s="35"/>
      <c r="R163" s="50" t="str">
        <f>IF(ISNUMBER(Y164*X164*K163),Y164*X164*K163,"")</f>
        <v/>
      </c>
      <c r="S163" s="102" t="s">
        <v>172</v>
      </c>
      <c r="T163" s="36" t="s">
        <v>446</v>
      </c>
      <c r="U163" s="36" t="s">
        <v>384</v>
      </c>
      <c r="V163" s="36" t="s">
        <v>443</v>
      </c>
      <c r="W163" s="36" t="s">
        <v>444</v>
      </c>
      <c r="X163" s="36" t="s">
        <v>447</v>
      </c>
      <c r="Y163" s="36" t="s">
        <v>449</v>
      </c>
      <c r="Z163" s="36" t="s">
        <v>374</v>
      </c>
      <c r="AA163" s="36"/>
      <c r="AB163" s="108"/>
      <c r="AC163" s="36"/>
      <c r="AD163" s="36"/>
      <c r="AE163" s="36"/>
      <c r="AF163" s="36"/>
      <c r="AG163" s="36"/>
      <c r="AH163" s="36"/>
      <c r="AI163" s="36"/>
      <c r="AJ163" s="36"/>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5" x14ac:dyDescent="0.3">
      <c r="B164" s="78" t="s">
        <v>377</v>
      </c>
      <c r="C164" s="392" t="s">
        <v>93</v>
      </c>
      <c r="D164" s="393"/>
      <c r="E164" s="393"/>
      <c r="F164" s="393"/>
      <c r="G164" s="394"/>
      <c r="H164" s="46" t="s">
        <v>203</v>
      </c>
      <c r="J164" s="33"/>
      <c r="K164" s="38" t="s">
        <v>329</v>
      </c>
      <c r="L164" s="38" t="s">
        <v>201</v>
      </c>
      <c r="M164" s="41"/>
      <c r="N164" s="41"/>
      <c r="O164" s="265"/>
      <c r="Q164" s="47"/>
      <c r="R164" s="108"/>
      <c r="S164" s="36"/>
      <c r="T164" s="48" t="str">
        <f>IF(ISNUMBER(L163),"Kohdetieto",IF(OR(C164=Pudotusvalikot!$D$14,C164=Pudotusvalikot!$D$15),Kalusto!$I$96,VLOOKUP(C164,Kalusto!$C$44:$L$83,7,FALSE)))</f>
        <v>Puoliperävaunu</v>
      </c>
      <c r="U164" s="48">
        <f>IF(ISNUMBER(L163),"Kohdetieto",IF(OR(C164=Pudotusvalikot!$D$14,C164=Pudotusvalikot!$D$15),Kalusto!$J$96,VLOOKUP(C164,Kalusto!$C$44:$L$83,8,FALSE)))</f>
        <v>40</v>
      </c>
      <c r="V164" s="49">
        <f>IF(ISNUMBER(L163),"Kohdetieto",IF(OR(C164=Pudotusvalikot!$D$14,C164=Pudotusvalikot!$D$15),Kalusto!$K$96,VLOOKUP(C164,Kalusto!$C$44:$L$83,9,FALSE)))</f>
        <v>0.8</v>
      </c>
      <c r="W164" s="49" t="str">
        <f>IF(ISNUMBER(L163),"Kohdetieto",IF(OR(C164=Pudotusvalikot!$D$14,C164=Pudotusvalikot!$D$15),Kalusto!$L$96,VLOOKUP(C164,Kalusto!$C$44:$L$83,10,FALSE)))</f>
        <v>maantieajo</v>
      </c>
      <c r="X164" s="50" t="str">
        <f>IF(ISBLANK(C162),"",C162/1000)</f>
        <v/>
      </c>
      <c r="Y164" s="48" t="str">
        <f>IF(ISNUMBER(G163),G163,"")</f>
        <v/>
      </c>
      <c r="Z164" s="51">
        <f>IF(ISNUMBER(L163),L163,K163)</f>
        <v>4.9950000000000001E-2</v>
      </c>
      <c r="AA164" s="36"/>
      <c r="AB164" s="108"/>
      <c r="AC164" s="36"/>
      <c r="AD164" s="36"/>
      <c r="AE164" s="36"/>
      <c r="AF164" s="36"/>
      <c r="AG164" s="36"/>
      <c r="AH164" s="36"/>
      <c r="AI164" s="36"/>
      <c r="AJ164" s="36"/>
      <c r="AK164" s="36"/>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5" x14ac:dyDescent="0.3">
      <c r="B165" s="78" t="s">
        <v>506</v>
      </c>
      <c r="C165" s="160" t="s">
        <v>242</v>
      </c>
      <c r="D165" s="34"/>
      <c r="E165" s="34"/>
      <c r="F165" s="34"/>
      <c r="G165" s="34"/>
      <c r="H165" s="59"/>
      <c r="J165" s="173"/>
      <c r="K165" s="173"/>
      <c r="L165" s="173"/>
      <c r="M165" s="41"/>
      <c r="N165" s="41"/>
      <c r="O165" s="265"/>
      <c r="Q165" s="47"/>
      <c r="R165" s="36"/>
      <c r="S165" s="36"/>
      <c r="T165" s="36"/>
      <c r="U165" s="36"/>
      <c r="V165" s="181"/>
      <c r="W165" s="181"/>
      <c r="X165" s="61"/>
      <c r="Y165" s="36"/>
      <c r="Z165" s="61"/>
      <c r="AA165" s="182"/>
      <c r="AB165" s="61"/>
      <c r="AC165" s="61"/>
      <c r="AD165" s="61"/>
      <c r="AE165" s="61"/>
      <c r="AF165" s="182"/>
      <c r="AG165" s="61"/>
      <c r="AH165" s="36"/>
      <c r="AI165" s="36"/>
      <c r="AJ165" s="36"/>
      <c r="AK165" s="108"/>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5" x14ac:dyDescent="0.3">
      <c r="B166" s="155" t="s">
        <v>542</v>
      </c>
      <c r="C166" s="395" t="s">
        <v>283</v>
      </c>
      <c r="D166" s="395"/>
      <c r="G166" s="156"/>
      <c r="H166" s="84" t="s">
        <v>5</v>
      </c>
      <c r="J166" s="33" t="str">
        <f>IF(C166="Kuljetus","Ei oletusta","Oletus (" &amp; IF(C166="Tiekuljetus",Kalusto!$C$105,IF(C166="Raidekuljetus",Kalusto!$C$106,IF(C166="Laivarahti",Kalusto!$C$107,Kalusto!$C$108))) &amp; ")" )</f>
        <v>Oletus (Puoliperävaunuyhdistelmä, 40 t, 100 % kuorma, maantieajo)</v>
      </c>
      <c r="K166" s="96">
        <f>IF(ISNUMBER(L166),L166,IF(C166=Pudotusvalikot!$N$4,Kalusto!$G$105,IF(C166=Pudotusvalikot!$N$5,Kalusto!$G$106,IF(C166=Pudotusvalikot!$N$6,Kalusto!$G$107,IF(C166=Pudotusvalikot!$N$7,Kalusto!$G$108,Kalusto!$G$105)))))</f>
        <v>4.9950000000000001E-2</v>
      </c>
      <c r="L166" s="40"/>
      <c r="M166" s="41" t="s">
        <v>200</v>
      </c>
      <c r="N166" s="41"/>
      <c r="O166" s="265"/>
      <c r="Q166" s="35"/>
      <c r="R166" s="50" t="str">
        <f>IF(AND(ISNUMBER(G163)*ISNUMBER(C162)),K166*G166*C162,"")</f>
        <v/>
      </c>
      <c r="S166" s="102" t="s">
        <v>172</v>
      </c>
      <c r="T166" s="36"/>
      <c r="U166" s="36"/>
      <c r="V166" s="36"/>
      <c r="W166" s="36"/>
      <c r="X166" s="36"/>
      <c r="Y166" s="36"/>
      <c r="Z166" s="36"/>
      <c r="AA166" s="36"/>
      <c r="AB166" s="108"/>
      <c r="AC166" s="36"/>
      <c r="AD166" s="36"/>
      <c r="AE166" s="36"/>
      <c r="AF166" s="36"/>
      <c r="AG166" s="36"/>
      <c r="AH166" s="36"/>
      <c r="AI166" s="36"/>
      <c r="AJ166" s="36"/>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5" x14ac:dyDescent="0.3">
      <c r="B167" s="155" t="s">
        <v>542</v>
      </c>
      <c r="C167" s="395" t="s">
        <v>284</v>
      </c>
      <c r="D167" s="395"/>
      <c r="G167" s="156"/>
      <c r="H167" s="84" t="s">
        <v>5</v>
      </c>
      <c r="J167" s="33" t="str">
        <f>IF(C167="Kuljetus","Ei oletusta","Oletus (" &amp; IF(C167="Tiekuljetus",Kalusto!$C$105,IF(C167="Raidekuljetus",Kalusto!$C$106,IF(C167="Laivarahti",Kalusto!$C$107,Kalusto!$C$108))) &amp; ")" )</f>
        <v>Oletus (Merikuljetus, konttilaiva, 1000 TEU)</v>
      </c>
      <c r="K167" s="96">
        <f>IF(ISNUMBER(L167),L167,IF(C167=Pudotusvalikot!$N$4,Kalusto!$G$105,IF(C167=Pudotusvalikot!$N$5,Kalusto!$G$106,IF(C167=Pudotusvalikot!$N$6,Kalusto!$G$107,IF(C167=Pudotusvalikot!$N$7,Kalusto!$G$108,"--")))))</f>
        <v>4.4999999999999998E-2</v>
      </c>
      <c r="L167" s="40"/>
      <c r="M167" s="41" t="s">
        <v>200</v>
      </c>
      <c r="N167" s="41"/>
      <c r="O167" s="265"/>
      <c r="Q167" s="35"/>
      <c r="R167" s="50" t="str">
        <f>IF(AND(ISNUMBER(G163)*ISNUMBER(C162)),K167*G167*C162,"")</f>
        <v/>
      </c>
      <c r="S167" s="102" t="s">
        <v>172</v>
      </c>
      <c r="T167" s="36"/>
      <c r="U167" s="36"/>
      <c r="V167" s="36"/>
      <c r="W167" s="36"/>
      <c r="X167" s="36"/>
      <c r="Y167" s="36"/>
      <c r="Z167" s="36"/>
      <c r="AA167" s="36"/>
      <c r="AB167" s="108"/>
      <c r="AC167" s="36"/>
      <c r="AD167" s="36"/>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5" x14ac:dyDescent="0.3">
      <c r="B168" s="155" t="s">
        <v>542</v>
      </c>
      <c r="C168" s="395" t="s">
        <v>283</v>
      </c>
      <c r="D168" s="395"/>
      <c r="G168" s="156"/>
      <c r="H168" s="84" t="s">
        <v>5</v>
      </c>
      <c r="J168" s="33" t="str">
        <f>IF(C168="Kuljetus","Ei oletusta","Oletus (" &amp; IF(C168="Tiekuljetus",Kalusto!$C$105,IF(C168="Raidekuljetus",Kalusto!$C$106,IF(C168="Laivarahti",Kalusto!$C$107,Kalusto!$C$108))) &amp; ")" )</f>
        <v>Oletus (Puoliperävaunuyhdistelmä, 40 t, 100 % kuorma, maantieajo)</v>
      </c>
      <c r="K168" s="96">
        <f>IF(ISNUMBER(L168),L168,IF(C168=Pudotusvalikot!$N$4,Kalusto!$G$105,IF(C168=Pudotusvalikot!$N$5,Kalusto!$G$106,IF(C168=Pudotusvalikot!$N$6,Kalusto!$G$107,IF(C168=Pudotusvalikot!$N$7,Kalusto!$G$108,"--")))))</f>
        <v>4.9950000000000001E-2</v>
      </c>
      <c r="L168" s="40"/>
      <c r="M168" s="41" t="s">
        <v>200</v>
      </c>
      <c r="N168" s="41"/>
      <c r="O168" s="265"/>
      <c r="Q168" s="35"/>
      <c r="R168" s="50" t="str">
        <f>IF(AND(ISNUMBER(G163)*ISNUMBER(C162)),K168*G168*C162,"")</f>
        <v/>
      </c>
      <c r="S168" s="102" t="s">
        <v>172</v>
      </c>
      <c r="T168" s="36"/>
      <c r="U168" s="36"/>
      <c r="V168" s="36"/>
      <c r="W168" s="36"/>
      <c r="X168" s="36"/>
      <c r="Y168" s="36"/>
      <c r="Z168" s="36"/>
      <c r="AA168" s="36"/>
      <c r="AB168" s="108"/>
      <c r="AC168" s="36"/>
      <c r="AD168" s="36"/>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5" x14ac:dyDescent="0.3">
      <c r="B169" s="9" t="str">
        <f>B133</f>
        <v>Kemikaali-, tuote- tai materiaalilaji 4</v>
      </c>
      <c r="C169" s="34"/>
      <c r="D169" s="84"/>
      <c r="G169" s="72"/>
      <c r="H169" s="84"/>
      <c r="J169" s="33"/>
      <c r="K169" s="34"/>
      <c r="L169" s="34"/>
      <c r="M169" s="84"/>
      <c r="N169" s="84"/>
      <c r="O169" s="100"/>
      <c r="Q169" s="35"/>
      <c r="R169" s="36" t="s">
        <v>350</v>
      </c>
      <c r="S169" s="36"/>
      <c r="T169" s="36"/>
      <c r="U169" s="36"/>
      <c r="V169" s="36"/>
      <c r="W169" s="36"/>
      <c r="X169" s="36"/>
      <c r="Y169" s="36"/>
      <c r="Z169" s="36"/>
      <c r="AA169" s="36"/>
      <c r="AB169" s="108"/>
      <c r="AC169" s="36"/>
      <c r="AD169" s="36"/>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15.5" x14ac:dyDescent="0.3">
      <c r="B170" s="54" t="s">
        <v>375</v>
      </c>
      <c r="C170" s="160"/>
      <c r="D170" s="84" t="s">
        <v>281</v>
      </c>
      <c r="G170" s="34"/>
      <c r="H170" s="84"/>
      <c r="J170" s="33"/>
      <c r="K170" s="38" t="s">
        <v>329</v>
      </c>
      <c r="L170" s="38" t="s">
        <v>201</v>
      </c>
      <c r="M170" s="84"/>
      <c r="N170" s="84"/>
      <c r="O170" s="100"/>
      <c r="Q170" s="35"/>
      <c r="R170" s="50" t="str">
        <f>IF(AND(ISNUMBER(G171),ISNUMBER(C170)),SUM(R171,R174:R176),"")</f>
        <v/>
      </c>
      <c r="S170" s="102" t="s">
        <v>172</v>
      </c>
      <c r="T170" s="36"/>
      <c r="U170" s="36"/>
      <c r="V170" s="36"/>
      <c r="W170" s="36"/>
      <c r="X170" s="36"/>
      <c r="Y170" s="36"/>
      <c r="Z170" s="36"/>
      <c r="AA170" s="36"/>
      <c r="AB170" s="108"/>
      <c r="AC170" s="36"/>
      <c r="AD170" s="36"/>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46.5" x14ac:dyDescent="0.3">
      <c r="B171" s="155" t="s">
        <v>728</v>
      </c>
      <c r="C171" s="396" t="s">
        <v>283</v>
      </c>
      <c r="D171" s="397"/>
      <c r="G171" s="156"/>
      <c r="H171" s="84" t="s">
        <v>5</v>
      </c>
      <c r="J171" s="173" t="s">
        <v>441</v>
      </c>
      <c r="K171" s="96">
        <f>IF(ISNUMBER(L171),L171,IF(C171=Pudotusvalikot!$N$4,Kalusto!$G$105,IF(C171=Pudotusvalikot!$N$5,Kalusto!$G$106,IF(C171=Pudotusvalikot!$N$6,Kalusto!$G$107,IF(C171=Pudotusvalikot!$N$7,Kalusto!$G$108,Kalusto!$G$105))))*IF(OR(C173=Pudotusvalikot!$V$3,C173=Pudotusvalikot!$V$4),Muut!$E$38,IF(C173=Pudotusvalikot!$V$5,Muut!$E$39,IF(C173=Pudotusvalikot!$V$6,Muut!$E$40,Muut!$E$41))))</f>
        <v>4.9950000000000001E-2</v>
      </c>
      <c r="L171" s="40"/>
      <c r="M171" s="41" t="s">
        <v>200</v>
      </c>
      <c r="N171" s="41"/>
      <c r="O171" s="265"/>
      <c r="Q171" s="35"/>
      <c r="R171" s="50" t="str">
        <f>IF(ISNUMBER(Y172*X172*K171),Y172*X172*K171,"")</f>
        <v/>
      </c>
      <c r="S171" s="102" t="s">
        <v>172</v>
      </c>
      <c r="T171" s="36" t="s">
        <v>446</v>
      </c>
      <c r="U171" s="36" t="s">
        <v>384</v>
      </c>
      <c r="V171" s="36" t="s">
        <v>443</v>
      </c>
      <c r="W171" s="36" t="s">
        <v>444</v>
      </c>
      <c r="X171" s="36" t="s">
        <v>447</v>
      </c>
      <c r="Y171" s="36" t="s">
        <v>449</v>
      </c>
      <c r="Z171" s="36" t="s">
        <v>374</v>
      </c>
      <c r="AA171" s="36"/>
      <c r="AB171" s="108"/>
      <c r="AC171" s="36"/>
      <c r="AD171" s="36"/>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5" x14ac:dyDescent="0.3">
      <c r="B172" s="78" t="s">
        <v>377</v>
      </c>
      <c r="C172" s="392" t="s">
        <v>93</v>
      </c>
      <c r="D172" s="393"/>
      <c r="E172" s="393"/>
      <c r="F172" s="393"/>
      <c r="G172" s="394"/>
      <c r="J172" s="33"/>
      <c r="K172" s="38" t="s">
        <v>329</v>
      </c>
      <c r="L172" s="38" t="s">
        <v>201</v>
      </c>
      <c r="M172" s="41"/>
      <c r="N172" s="41"/>
      <c r="O172" s="265"/>
      <c r="Q172" s="47"/>
      <c r="R172" s="108"/>
      <c r="S172" s="36"/>
      <c r="T172" s="48" t="str">
        <f>IF(ISNUMBER(L171),"Kohdetieto",IF(OR(C172=Pudotusvalikot!$D$14,C172=Pudotusvalikot!$D$15),Kalusto!$I$96,VLOOKUP(C172,Kalusto!$C$44:$L$83,7,FALSE)))</f>
        <v>Puoliperävaunu</v>
      </c>
      <c r="U172" s="48">
        <f>IF(ISNUMBER(L171),"Kohdetieto",IF(OR(C172=Pudotusvalikot!$D$14,C172=Pudotusvalikot!$D$15),Kalusto!$J$96,VLOOKUP(C172,Kalusto!$C$44:$L$83,8,FALSE)))</f>
        <v>40</v>
      </c>
      <c r="V172" s="49">
        <f>IF(ISNUMBER(L171),"Kohdetieto",IF(OR(C172=Pudotusvalikot!$D$14,C172=Pudotusvalikot!$D$15),Kalusto!$K$96,VLOOKUP(C172,Kalusto!$C$44:$L$83,9,FALSE)))</f>
        <v>0.8</v>
      </c>
      <c r="W172" s="49" t="str">
        <f>IF(ISNUMBER(L171),"Kohdetieto",IF(OR(C172=Pudotusvalikot!$D$14,C172=Pudotusvalikot!$D$15),Kalusto!$L$96,VLOOKUP(C172,Kalusto!$C$44:$L$83,10,FALSE)))</f>
        <v>maantieajo</v>
      </c>
      <c r="X172" s="50" t="str">
        <f>IF(ISBLANK(C170),"",C170/1000)</f>
        <v/>
      </c>
      <c r="Y172" s="48" t="str">
        <f>IF(ISNUMBER(G171),G171,"")</f>
        <v/>
      </c>
      <c r="Z172" s="51">
        <f>IF(ISNUMBER(L171),L171,K171)</f>
        <v>4.9950000000000001E-2</v>
      </c>
      <c r="AA172" s="36"/>
      <c r="AB172" s="108"/>
      <c r="AC172" s="36"/>
      <c r="AD172" s="36"/>
      <c r="AE172" s="36"/>
      <c r="AF172" s="36"/>
      <c r="AG172" s="36"/>
      <c r="AH172" s="36"/>
      <c r="AI172" s="36"/>
      <c r="AJ172" s="36"/>
      <c r="AK172" s="36"/>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5" x14ac:dyDescent="0.3">
      <c r="B173" s="78" t="s">
        <v>506</v>
      </c>
      <c r="C173" s="160" t="s">
        <v>242</v>
      </c>
      <c r="D173" s="34"/>
      <c r="E173" s="34"/>
      <c r="F173" s="34"/>
      <c r="G173" s="34"/>
      <c r="H173" s="59"/>
      <c r="J173" s="173"/>
      <c r="K173" s="173"/>
      <c r="L173" s="173"/>
      <c r="M173" s="41"/>
      <c r="N173" s="41"/>
      <c r="O173" s="265"/>
      <c r="Q173" s="47"/>
      <c r="R173" s="36"/>
      <c r="S173" s="36"/>
      <c r="T173" s="36"/>
      <c r="U173" s="36"/>
      <c r="V173" s="181"/>
      <c r="W173" s="181"/>
      <c r="X173" s="61"/>
      <c r="Y173" s="36"/>
      <c r="Z173" s="61"/>
      <c r="AA173" s="182"/>
      <c r="AB173" s="61"/>
      <c r="AC173" s="61"/>
      <c r="AD173" s="61"/>
      <c r="AE173" s="61"/>
      <c r="AF173" s="182"/>
      <c r="AG173" s="61"/>
      <c r="AH173" s="36"/>
      <c r="AI173" s="36"/>
      <c r="AJ173" s="36"/>
      <c r="AK173" s="108"/>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5" x14ac:dyDescent="0.3">
      <c r="B174" s="155" t="s">
        <v>543</v>
      </c>
      <c r="C174" s="395" t="s">
        <v>283</v>
      </c>
      <c r="D174" s="395"/>
      <c r="G174" s="156"/>
      <c r="H174" s="84" t="s">
        <v>5</v>
      </c>
      <c r="J174" s="33" t="str">
        <f>IF(C174="Kuljetus","Ei oletusta","Oletus (" &amp; IF(C174="Tiekuljetus",Kalusto!$C$105,IF(C174="Raidekuljetus",Kalusto!$C$106,IF(C174="Laivarahti",Kalusto!$C$107,Kalusto!$C$108))) &amp; ")" )</f>
        <v>Oletus (Puoliperävaunuyhdistelmä, 40 t, 100 % kuorma, maantieajo)</v>
      </c>
      <c r="K174" s="96">
        <f>IF(ISNUMBER(L174),L174,IF(C174=Pudotusvalikot!$N$4,Kalusto!$G$105,IF(C174=Pudotusvalikot!$N$5,Kalusto!$G$106,IF(C174=Pudotusvalikot!$N$6,Kalusto!$G$107,IF(C174=Pudotusvalikot!$N$7,Kalusto!$G$108,Kalusto!$G$105)))))</f>
        <v>4.9950000000000001E-2</v>
      </c>
      <c r="L174" s="40"/>
      <c r="M174" s="41" t="s">
        <v>200</v>
      </c>
      <c r="N174" s="41"/>
      <c r="O174" s="265"/>
      <c r="Q174" s="35"/>
      <c r="R174" s="50" t="str">
        <f>IF(AND(ISNUMBER(G171)*ISNUMBER(C170)),K174*G174*C170,"")</f>
        <v/>
      </c>
      <c r="S174" s="102" t="s">
        <v>172</v>
      </c>
      <c r="T174" s="36"/>
      <c r="U174" s="36"/>
      <c r="V174" s="36"/>
      <c r="W174" s="36"/>
      <c r="X174" s="36"/>
      <c r="Y174" s="36"/>
      <c r="Z174" s="36"/>
      <c r="AA174" s="36"/>
      <c r="AB174" s="108"/>
      <c r="AC174" s="36"/>
      <c r="AD174" s="36"/>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5" x14ac:dyDescent="0.3">
      <c r="B175" s="155" t="s">
        <v>543</v>
      </c>
      <c r="C175" s="395" t="s">
        <v>284</v>
      </c>
      <c r="D175" s="395"/>
      <c r="G175" s="156"/>
      <c r="H175" s="84" t="s">
        <v>5</v>
      </c>
      <c r="J175" s="33" t="str">
        <f>IF(C175="Kuljetus","Ei oletusta","Oletus (" &amp; IF(C175="Tiekuljetus",Kalusto!$C$105,IF(C175="Raidekuljetus",Kalusto!$C$106,IF(C175="Laivarahti",Kalusto!$C$107,Kalusto!$C$108))) &amp; ")" )</f>
        <v>Oletus (Merikuljetus, konttilaiva, 1000 TEU)</v>
      </c>
      <c r="K175" s="96">
        <f>IF(ISNUMBER(L175),L175,IF(C175=Pudotusvalikot!$N$4,Kalusto!$G$105,IF(C175=Pudotusvalikot!$N$5,Kalusto!$G$106,IF(C175=Pudotusvalikot!$N$6,Kalusto!$G$107,IF(C175=Pudotusvalikot!$N$7,Kalusto!$G$108,"--")))))</f>
        <v>4.4999999999999998E-2</v>
      </c>
      <c r="L175" s="40"/>
      <c r="M175" s="41" t="s">
        <v>200</v>
      </c>
      <c r="N175" s="41"/>
      <c r="O175" s="265"/>
      <c r="Q175" s="35"/>
      <c r="R175" s="50" t="str">
        <f>IF(AND(ISNUMBER(G171)*ISNUMBER(C170)),K175*G175*C170,"")</f>
        <v/>
      </c>
      <c r="S175" s="102" t="s">
        <v>172</v>
      </c>
      <c r="T175" s="36"/>
      <c r="U175" s="36"/>
      <c r="V175" s="36"/>
      <c r="W175" s="36"/>
      <c r="X175" s="36"/>
      <c r="Y175" s="36"/>
      <c r="Z175" s="36"/>
      <c r="AA175" s="36"/>
      <c r="AB175" s="108"/>
      <c r="AC175" s="36"/>
      <c r="AD175" s="36"/>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5" x14ac:dyDescent="0.3">
      <c r="B176" s="155" t="s">
        <v>543</v>
      </c>
      <c r="C176" s="395" t="s">
        <v>283</v>
      </c>
      <c r="D176" s="395"/>
      <c r="G176" s="156"/>
      <c r="H176" s="84" t="s">
        <v>5</v>
      </c>
      <c r="J176" s="33" t="str">
        <f>IF(C176="Kuljetus","Ei oletusta","Oletus (" &amp; IF(C176="Tiekuljetus",Kalusto!$C$105,IF(C176="Raidekuljetus",Kalusto!$C$106,IF(C176="Laivarahti",Kalusto!$C$107,Kalusto!$C$108))) &amp; ")" )</f>
        <v>Oletus (Puoliperävaunuyhdistelmä, 40 t, 100 % kuorma, maantieajo)</v>
      </c>
      <c r="K176" s="96">
        <f>IF(ISNUMBER(L176),L176,IF(C176=Pudotusvalikot!$N$4,Kalusto!$G$105,IF(C176=Pudotusvalikot!$N$5,Kalusto!$G$106,IF(C176=Pudotusvalikot!$N$6,Kalusto!$G$107,IF(C176=Pudotusvalikot!$N$7,Kalusto!$G$108,"--")))))</f>
        <v>4.9950000000000001E-2</v>
      </c>
      <c r="L176" s="40"/>
      <c r="M176" s="41" t="s">
        <v>200</v>
      </c>
      <c r="N176" s="41"/>
      <c r="O176" s="265"/>
      <c r="Q176" s="35"/>
      <c r="R176" s="50" t="str">
        <f>IF(AND(ISNUMBER(G171)*ISNUMBER(C170)),K176*G176*C170,"")</f>
        <v/>
      </c>
      <c r="S176" s="102" t="s">
        <v>172</v>
      </c>
      <c r="T176" s="36"/>
      <c r="U176" s="36"/>
      <c r="V176" s="36"/>
      <c r="W176" s="36"/>
      <c r="X176" s="36"/>
      <c r="Y176" s="36"/>
      <c r="Z176" s="36"/>
      <c r="AA176" s="36"/>
      <c r="AB176" s="108"/>
      <c r="AC176" s="36"/>
      <c r="AD176" s="36"/>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7" s="31" customFormat="1" ht="15.5" x14ac:dyDescent="0.3">
      <c r="B177" s="9" t="str">
        <f>B136</f>
        <v>Kemikaali-, tuote- tai materiaalilaji 5</v>
      </c>
      <c r="C177" s="34"/>
      <c r="D177" s="84"/>
      <c r="G177" s="72"/>
      <c r="H177" s="84"/>
      <c r="J177" s="33"/>
      <c r="K177" s="34"/>
      <c r="L177" s="34"/>
      <c r="M177" s="84"/>
      <c r="N177" s="84"/>
      <c r="O177" s="100"/>
      <c r="Q177" s="35"/>
      <c r="R177" s="36" t="s">
        <v>350</v>
      </c>
      <c r="S177" s="36"/>
      <c r="T177" s="36"/>
      <c r="U177" s="36"/>
      <c r="V177" s="36"/>
      <c r="W177" s="36"/>
      <c r="X177" s="36"/>
      <c r="Y177" s="36"/>
      <c r="Z177" s="36"/>
      <c r="AA177" s="36"/>
      <c r="AB177" s="108"/>
      <c r="AC177" s="36"/>
      <c r="AD177" s="36"/>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7" s="31" customFormat="1" ht="15.5" x14ac:dyDescent="0.3">
      <c r="B178" s="54" t="s">
        <v>286</v>
      </c>
      <c r="C178" s="160"/>
      <c r="D178" s="84" t="s">
        <v>281</v>
      </c>
      <c r="G178" s="34"/>
      <c r="H178" s="84"/>
      <c r="J178" s="33"/>
      <c r="K178" s="38" t="s">
        <v>329</v>
      </c>
      <c r="L178" s="38" t="s">
        <v>201</v>
      </c>
      <c r="M178" s="84"/>
      <c r="N178" s="84"/>
      <c r="O178" s="100"/>
      <c r="Q178" s="35"/>
      <c r="R178" s="50" t="str">
        <f>IF(AND(ISNUMBER(G179),ISNUMBER(C178)),SUM(R179,R182:R184),"")</f>
        <v/>
      </c>
      <c r="S178" s="102" t="s">
        <v>172</v>
      </c>
      <c r="T178" s="36"/>
      <c r="U178" s="36"/>
      <c r="V178" s="36"/>
      <c r="W178" s="36"/>
      <c r="X178" s="36"/>
      <c r="Y178" s="36"/>
      <c r="Z178" s="36"/>
      <c r="AA178" s="36"/>
      <c r="AB178" s="108"/>
      <c r="AC178" s="36"/>
      <c r="AD178" s="36"/>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7" s="31" customFormat="1" ht="46.5" x14ac:dyDescent="0.3">
      <c r="B179" s="155" t="s">
        <v>728</v>
      </c>
      <c r="C179" s="396" t="s">
        <v>283</v>
      </c>
      <c r="D179" s="397"/>
      <c r="G179" s="156"/>
      <c r="H179" s="84" t="s">
        <v>5</v>
      </c>
      <c r="J179" s="173" t="s">
        <v>441</v>
      </c>
      <c r="K179" s="96">
        <f>IF(ISNUMBER(L179),L179,IF(C179=Pudotusvalikot!$N$4,Kalusto!$G$105,IF(C179=Pudotusvalikot!$N$5,Kalusto!$G$106,IF(C179=Pudotusvalikot!$N$6,Kalusto!$G$107,IF(C179=Pudotusvalikot!$N$7,Kalusto!$G$108,Kalusto!$G$105))))*IF(OR(C181=Pudotusvalikot!$V$3,C181=Pudotusvalikot!$V$4),Muut!$E$38,IF(C181=Pudotusvalikot!$V$5,Muut!$E$39,IF(C181=Pudotusvalikot!$V$6,Muut!$E$40,Muut!$E$41))))</f>
        <v>4.9950000000000001E-2</v>
      </c>
      <c r="L179" s="40"/>
      <c r="M179" s="41" t="s">
        <v>200</v>
      </c>
      <c r="N179" s="41"/>
      <c r="O179" s="265"/>
      <c r="Q179" s="35"/>
      <c r="R179" s="50" t="str">
        <f>IF(ISNUMBER(Y180*X180*K179),Y180*X180*K179,"")</f>
        <v/>
      </c>
      <c r="S179" s="102" t="s">
        <v>172</v>
      </c>
      <c r="T179" s="36" t="s">
        <v>446</v>
      </c>
      <c r="U179" s="36" t="s">
        <v>384</v>
      </c>
      <c r="V179" s="36" t="s">
        <v>443</v>
      </c>
      <c r="W179" s="36" t="s">
        <v>444</v>
      </c>
      <c r="X179" s="36" t="s">
        <v>447</v>
      </c>
      <c r="Y179" s="36" t="s">
        <v>449</v>
      </c>
      <c r="Z179" s="36" t="s">
        <v>374</v>
      </c>
      <c r="AA179" s="36"/>
      <c r="AB179" s="108"/>
      <c r="AC179" s="36"/>
      <c r="AD179" s="36"/>
      <c r="AE179" s="36"/>
      <c r="AF179" s="36"/>
      <c r="AG179" s="36"/>
      <c r="AH179" s="36"/>
      <c r="AI179" s="36"/>
      <c r="AJ179" s="36"/>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7" s="31" customFormat="1" ht="15.5" x14ac:dyDescent="0.3">
      <c r="B180" s="78" t="s">
        <v>377</v>
      </c>
      <c r="C180" s="392" t="s">
        <v>93</v>
      </c>
      <c r="D180" s="393"/>
      <c r="E180" s="393"/>
      <c r="F180" s="393"/>
      <c r="G180" s="394"/>
      <c r="J180" s="33"/>
      <c r="K180" s="38" t="s">
        <v>329</v>
      </c>
      <c r="L180" s="38" t="s">
        <v>201</v>
      </c>
      <c r="M180" s="41"/>
      <c r="N180" s="41"/>
      <c r="O180" s="265"/>
      <c r="Q180" s="47"/>
      <c r="R180" s="108"/>
      <c r="S180" s="36"/>
      <c r="T180" s="48" t="str">
        <f>IF(ISNUMBER(L179),"Kohdetieto",IF(OR(C180=Pudotusvalikot!$D$14,C180=Pudotusvalikot!$D$15),Kalusto!$I$96,VLOOKUP(C180,Kalusto!$C$44:$L$83,7,FALSE)))</f>
        <v>Puoliperävaunu</v>
      </c>
      <c r="U180" s="48">
        <f>IF(ISNUMBER(L179),"Kohdetieto",IF(OR(C180=Pudotusvalikot!$D$14,C180=Pudotusvalikot!$D$15),Kalusto!$J$96,VLOOKUP(C180,Kalusto!$C$44:$L$83,8,FALSE)))</f>
        <v>40</v>
      </c>
      <c r="V180" s="49">
        <f>IF(ISNUMBER(L179),"Kohdetieto",IF(OR(C180=Pudotusvalikot!$D$14,C180=Pudotusvalikot!$D$15),Kalusto!$K$96,VLOOKUP(C180,Kalusto!$C$44:$L$83,9,FALSE)))</f>
        <v>0.8</v>
      </c>
      <c r="W180" s="49" t="str">
        <f>IF(ISNUMBER(L179),"Kohdetieto",IF(OR(C180=Pudotusvalikot!$D$14,C180=Pudotusvalikot!$D$15),Kalusto!$L$96,VLOOKUP(C180,Kalusto!$C$44:$L$83,10,FALSE)))</f>
        <v>maantieajo</v>
      </c>
      <c r="X180" s="50" t="str">
        <f>IF(ISBLANK(C178),"",C178/1000)</f>
        <v/>
      </c>
      <c r="Y180" s="48" t="str">
        <f>IF(ISNUMBER(G179),G179,"")</f>
        <v/>
      </c>
      <c r="Z180" s="51">
        <f>IF(ISNUMBER(L179),L179,K179)</f>
        <v>4.9950000000000001E-2</v>
      </c>
      <c r="AA180" s="36"/>
      <c r="AB180" s="108"/>
      <c r="AC180" s="36"/>
      <c r="AD180" s="36"/>
      <c r="AE180" s="36"/>
      <c r="AF180" s="36"/>
      <c r="AG180" s="36"/>
      <c r="AH180" s="36"/>
      <c r="AI180" s="36"/>
      <c r="AJ180" s="36"/>
      <c r="AK180" s="36"/>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7" s="31" customFormat="1" ht="15.5" x14ac:dyDescent="0.3">
      <c r="B181" s="78" t="s">
        <v>506</v>
      </c>
      <c r="C181" s="160" t="s">
        <v>242</v>
      </c>
      <c r="D181" s="34"/>
      <c r="E181" s="34"/>
      <c r="F181" s="34"/>
      <c r="G181" s="34"/>
      <c r="H181" s="59"/>
      <c r="J181" s="173"/>
      <c r="K181" s="173"/>
      <c r="L181" s="173"/>
      <c r="M181" s="41"/>
      <c r="N181" s="41"/>
      <c r="O181" s="265"/>
      <c r="Q181" s="47"/>
      <c r="R181" s="36"/>
      <c r="S181" s="36"/>
      <c r="T181" s="36"/>
      <c r="U181" s="36"/>
      <c r="V181" s="181"/>
      <c r="W181" s="181"/>
      <c r="X181" s="61"/>
      <c r="Y181" s="36"/>
      <c r="Z181" s="61"/>
      <c r="AA181" s="182"/>
      <c r="AB181" s="61"/>
      <c r="AC181" s="61"/>
      <c r="AD181" s="61"/>
      <c r="AE181" s="61"/>
      <c r="AF181" s="182"/>
      <c r="AG181" s="61"/>
      <c r="AH181" s="36"/>
      <c r="AI181" s="36"/>
      <c r="AJ181" s="36"/>
      <c r="AK181" s="108"/>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7" s="31" customFormat="1" ht="15.5" x14ac:dyDescent="0.3">
      <c r="B182" s="155" t="s">
        <v>543</v>
      </c>
      <c r="C182" s="395" t="s">
        <v>283</v>
      </c>
      <c r="D182" s="395"/>
      <c r="G182" s="156"/>
      <c r="H182" s="84" t="s">
        <v>5</v>
      </c>
      <c r="J182" s="33" t="str">
        <f>IF(C182="Kuljetus","Ei oletusta","Oletus (" &amp; IF(C182="Tiekuljetus",Kalusto!$C$105,IF(C182="Raidekuljetus",Kalusto!$C$106,IF(C182="Laivarahti",Kalusto!$C$107,Kalusto!$C$108))) &amp; ")" )</f>
        <v>Oletus (Puoliperävaunuyhdistelmä, 40 t, 100 % kuorma, maantieajo)</v>
      </c>
      <c r="K182" s="96">
        <f>IF(ISNUMBER(L182),L182,IF(C182=Pudotusvalikot!$N$4,Kalusto!$G$105,IF(C182=Pudotusvalikot!$N$5,Kalusto!$G$106,IF(C182=Pudotusvalikot!$N$6,Kalusto!$G$107,IF(C182=Pudotusvalikot!$N$7,Kalusto!$G$108,Kalusto!$G$105)))))</f>
        <v>4.9950000000000001E-2</v>
      </c>
      <c r="L182" s="40"/>
      <c r="M182" s="41" t="s">
        <v>200</v>
      </c>
      <c r="N182" s="41"/>
      <c r="O182" s="265"/>
      <c r="Q182" s="35"/>
      <c r="R182" s="50" t="str">
        <f>IF(AND(ISNUMBER(G180)*ISNUMBER(C178)),K182*G182*C178,"")</f>
        <v/>
      </c>
      <c r="S182" s="102" t="s">
        <v>172</v>
      </c>
      <c r="T182" s="108"/>
      <c r="U182" s="36"/>
      <c r="V182" s="36"/>
      <c r="W182" s="36"/>
      <c r="X182" s="36"/>
      <c r="Y182" s="36"/>
      <c r="Z182" s="36"/>
      <c r="AA182" s="36"/>
      <c r="AB182" s="36"/>
      <c r="AC182" s="36"/>
      <c r="AD182" s="36"/>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7" s="31" customFormat="1" ht="15.5" x14ac:dyDescent="0.3">
      <c r="B183" s="155" t="s">
        <v>543</v>
      </c>
      <c r="C183" s="395" t="s">
        <v>284</v>
      </c>
      <c r="D183" s="395"/>
      <c r="G183" s="156"/>
      <c r="H183" s="84" t="s">
        <v>5</v>
      </c>
      <c r="J183" s="33" t="str">
        <f>IF(C183="Kuljetus","Ei oletusta","Oletus (" &amp; IF(C183="Tiekuljetus",Kalusto!$C$105,IF(C183="Raidekuljetus",Kalusto!$C$106,IF(C183="Laivarahti",Kalusto!$C$107,Kalusto!$C$108))) &amp; ")" )</f>
        <v>Oletus (Merikuljetus, konttilaiva, 1000 TEU)</v>
      </c>
      <c r="K183" s="96">
        <f>IF(ISNUMBER(L183),L183,IF(C183=Pudotusvalikot!$N$4,Kalusto!$G$105,IF(C183=Pudotusvalikot!$N$5,Kalusto!$G$106,IF(C183=Pudotusvalikot!$N$6,Kalusto!$G$107,IF(C183=Pudotusvalikot!$N$7,Kalusto!$G$108,"--")))))</f>
        <v>4.4999999999999998E-2</v>
      </c>
      <c r="L183" s="40"/>
      <c r="M183" s="41" t="s">
        <v>200</v>
      </c>
      <c r="N183" s="41"/>
      <c r="O183" s="265"/>
      <c r="Q183" s="35"/>
      <c r="R183" s="50" t="str">
        <f>IF(AND(ISNUMBER(G180)*ISNUMBER(C178)),K183*G183*C178,"")</f>
        <v/>
      </c>
      <c r="S183" s="102" t="s">
        <v>172</v>
      </c>
      <c r="T183" s="108"/>
      <c r="U183" s="36"/>
      <c r="V183" s="36"/>
      <c r="W183" s="36"/>
      <c r="X183" s="36"/>
      <c r="Y183" s="36"/>
      <c r="Z183" s="36"/>
      <c r="AA183" s="36"/>
      <c r="AB183" s="36"/>
      <c r="AC183" s="36"/>
      <c r="AD183" s="36"/>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7" s="31" customFormat="1" ht="15.5" x14ac:dyDescent="0.3">
      <c r="B184" s="155" t="s">
        <v>543</v>
      </c>
      <c r="C184" s="395" t="s">
        <v>283</v>
      </c>
      <c r="D184" s="395"/>
      <c r="G184" s="156"/>
      <c r="H184" s="84" t="s">
        <v>5</v>
      </c>
      <c r="J184" s="33" t="str">
        <f>IF(C184="Kuljetus","Ei oletusta","Oletus (" &amp; IF(C184="Tiekuljetus",Kalusto!$C$105,IF(C184="Raidekuljetus",Kalusto!$C$106,IF(C184="Laivarahti",Kalusto!$C$107,Kalusto!$C$108))) &amp; ")" )</f>
        <v>Oletus (Puoliperävaunuyhdistelmä, 40 t, 100 % kuorma, maantieajo)</v>
      </c>
      <c r="K184" s="96">
        <f>IF(ISNUMBER(L184),L184,IF(C184=Pudotusvalikot!$N$4,Kalusto!$G$105,IF(C184=Pudotusvalikot!$N$5,Kalusto!$G$106,IF(C184=Pudotusvalikot!$N$6,Kalusto!$G$107,IF(C184=Pudotusvalikot!$N$7,Kalusto!$G$108,"--")))))</f>
        <v>4.9950000000000001E-2</v>
      </c>
      <c r="L184" s="40"/>
      <c r="M184" s="41" t="s">
        <v>200</v>
      </c>
      <c r="N184" s="41"/>
      <c r="O184" s="265"/>
      <c r="Q184" s="35"/>
      <c r="R184" s="50" t="str">
        <f>IF(AND(ISNUMBER(G180)*ISNUMBER(C178)),K184*G184*C178,"")</f>
        <v/>
      </c>
      <c r="S184" s="102" t="s">
        <v>172</v>
      </c>
      <c r="T184" s="108"/>
      <c r="U184" s="36"/>
      <c r="V184" s="36"/>
      <c r="W184" s="36"/>
      <c r="X184" s="36"/>
      <c r="Y184" s="36"/>
      <c r="Z184" s="36"/>
      <c r="AA184" s="36"/>
      <c r="AB184" s="36"/>
      <c r="AC184" s="36"/>
      <c r="AD184" s="36"/>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7" s="31" customFormat="1" ht="15.5" x14ac:dyDescent="0.3">
      <c r="C185" s="34"/>
      <c r="D185" s="84"/>
      <c r="G185" s="34"/>
      <c r="H185" s="84"/>
      <c r="J185" s="33"/>
      <c r="K185" s="34"/>
      <c r="L185" s="34"/>
      <c r="M185" s="84"/>
      <c r="N185" s="84"/>
      <c r="O185" s="84"/>
      <c r="Q185" s="35"/>
      <c r="R185" s="99"/>
      <c r="S185" s="36"/>
      <c r="T185" s="36"/>
      <c r="U185" s="36"/>
      <c r="V185" s="36"/>
      <c r="W185" s="36"/>
      <c r="X185" s="36"/>
      <c r="Y185" s="36"/>
      <c r="Z185" s="36"/>
      <c r="AA185" s="36"/>
      <c r="AB185" s="36"/>
      <c r="AC185" s="36"/>
      <c r="AD185" s="36"/>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7" s="298" customFormat="1" ht="18" x14ac:dyDescent="0.3">
      <c r="B186" s="295" t="s">
        <v>533</v>
      </c>
      <c r="C186" s="296"/>
      <c r="D186" s="297"/>
      <c r="G186" s="296"/>
      <c r="H186" s="297"/>
      <c r="K186" s="296"/>
      <c r="L186" s="296"/>
      <c r="M186" s="297"/>
      <c r="N186" s="297"/>
      <c r="O186" s="300"/>
      <c r="P186" s="320"/>
      <c r="Q186" s="304"/>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4"/>
      <c r="AO186" s="304"/>
      <c r="AP186" s="304"/>
      <c r="AQ186" s="304"/>
      <c r="AR186" s="304"/>
      <c r="AS186" s="304"/>
      <c r="AT186" s="304"/>
      <c r="AU186" s="304"/>
      <c r="AV186" s="304"/>
      <c r="AW186" s="304"/>
      <c r="AX186" s="304"/>
      <c r="AY186" s="304"/>
      <c r="AZ186" s="304"/>
      <c r="BA186" s="304"/>
      <c r="BB186" s="304"/>
      <c r="BC186" s="304"/>
      <c r="BD186" s="304"/>
      <c r="BE186" s="304"/>
    </row>
    <row r="187" spans="2:57" s="31" customFormat="1" ht="15.5" x14ac:dyDescent="0.3">
      <c r="B187" s="9"/>
      <c r="C187" s="34"/>
      <c r="D187" s="84"/>
      <c r="G187" s="34"/>
      <c r="H187" s="84"/>
      <c r="J187" s="33"/>
      <c r="K187" s="38" t="s">
        <v>329</v>
      </c>
      <c r="L187" s="38" t="s">
        <v>201</v>
      </c>
      <c r="M187" s="84"/>
      <c r="N187" s="84"/>
      <c r="O187" s="255" t="s">
        <v>644</v>
      </c>
      <c r="Q187" s="35"/>
      <c r="R187" s="36" t="s">
        <v>350</v>
      </c>
      <c r="S187" s="36"/>
      <c r="T187" s="36"/>
      <c r="U187" s="36"/>
      <c r="V187" s="36"/>
      <c r="W187" s="36"/>
      <c r="X187" s="36"/>
      <c r="Y187" s="36"/>
      <c r="Z187" s="36"/>
      <c r="AA187" s="36"/>
      <c r="AB187" s="36"/>
      <c r="AC187" s="36"/>
      <c r="AD187" s="36"/>
      <c r="AE187" s="36"/>
      <c r="AF187" s="36"/>
      <c r="AG187" s="36"/>
      <c r="AH187" s="36"/>
      <c r="AI187" s="36"/>
      <c r="AJ187" s="36"/>
      <c r="AK187" s="36"/>
      <c r="AL187" s="36"/>
      <c r="AM187" s="36"/>
      <c r="AN187" s="37"/>
      <c r="AO187" s="37"/>
      <c r="AP187" s="37"/>
      <c r="AQ187" s="37"/>
      <c r="AR187" s="37"/>
      <c r="AS187" s="37"/>
      <c r="AT187" s="37"/>
      <c r="AU187" s="37"/>
      <c r="AV187" s="37"/>
      <c r="AW187" s="37"/>
      <c r="AX187" s="37"/>
      <c r="AY187" s="37"/>
      <c r="AZ187" s="37"/>
      <c r="BA187" s="37"/>
      <c r="BB187" s="37"/>
      <c r="BC187" s="37"/>
      <c r="BD187" s="37"/>
      <c r="BE187" s="37"/>
    </row>
    <row r="188" spans="2:57" s="31" customFormat="1" ht="31" x14ac:dyDescent="0.3">
      <c r="B188" s="78" t="s">
        <v>602</v>
      </c>
      <c r="C188" s="392" t="s">
        <v>314</v>
      </c>
      <c r="D188" s="394"/>
      <c r="G188" s="34"/>
      <c r="H188" s="84"/>
      <c r="J188" s="33" t="s">
        <v>534</v>
      </c>
      <c r="K188" s="138">
        <f>IF(ISNUMBER(L188),L188,Muut!$H$10)</f>
        <v>60</v>
      </c>
      <c r="L188" s="73"/>
      <c r="M188" s="86" t="s">
        <v>535</v>
      </c>
      <c r="N188" s="86"/>
      <c r="O188" s="256"/>
      <c r="Q188" s="35"/>
      <c r="R188" s="109" t="str">
        <f>IF(ISNUMBER(R192),R192,IF(ISNUMBER(R194),R194,""))</f>
        <v/>
      </c>
      <c r="S188" s="102" t="s">
        <v>172</v>
      </c>
      <c r="T188" s="36"/>
      <c r="U188" s="36"/>
      <c r="V188" s="36"/>
      <c r="W188" s="36"/>
      <c r="X188" s="36"/>
      <c r="Y188" s="36"/>
      <c r="Z188" s="36"/>
      <c r="AA188" s="36"/>
      <c r="AB188" s="36"/>
      <c r="AC188" s="36"/>
      <c r="AD188" s="36"/>
      <c r="AE188" s="36"/>
      <c r="AF188" s="36"/>
      <c r="AG188" s="36"/>
      <c r="AH188" s="36"/>
      <c r="AI188" s="36"/>
      <c r="AJ188" s="36"/>
      <c r="AK188" s="36"/>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7" s="31" customFormat="1" ht="15.5" x14ac:dyDescent="0.3">
      <c r="B189" s="170" t="s">
        <v>536</v>
      </c>
      <c r="C189" s="160"/>
      <c r="D189" s="84" t="s">
        <v>8</v>
      </c>
      <c r="G189" s="34"/>
      <c r="H189" s="84"/>
      <c r="J189" s="33" t="s">
        <v>537</v>
      </c>
      <c r="K189" s="96">
        <f>IF(ISNUMBER(L189),L189,IF(OR(C188="Bensiini",C188="Diesel"),Muut!$H$34,Muut!$H$35))</f>
        <v>0.95</v>
      </c>
      <c r="L189" s="175" t="str">
        <f>IF(ISNUMBER(C189),C189,"--")</f>
        <v>--</v>
      </c>
      <c r="M189" s="86"/>
      <c r="N189" s="86"/>
      <c r="O189" s="266"/>
      <c r="Q189" s="35"/>
      <c r="R189" s="61"/>
      <c r="S189" s="102"/>
      <c r="T189" s="36"/>
      <c r="U189" s="36"/>
      <c r="V189" s="36"/>
      <c r="W189" s="36"/>
      <c r="X189" s="36"/>
      <c r="Y189" s="36"/>
      <c r="Z189" s="36"/>
      <c r="AA189" s="36"/>
      <c r="AB189" s="36"/>
      <c r="AC189" s="36"/>
      <c r="AD189" s="36"/>
      <c r="AE189" s="36"/>
      <c r="AF189" s="36"/>
      <c r="AG189" s="36"/>
      <c r="AH189" s="36"/>
      <c r="AI189" s="36"/>
      <c r="AJ189" s="36"/>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7" s="31" customFormat="1" ht="15.5" x14ac:dyDescent="0.3">
      <c r="B190" s="54" t="s">
        <v>478</v>
      </c>
      <c r="C190" s="160"/>
      <c r="D190" s="89" t="s">
        <v>301</v>
      </c>
      <c r="G190" s="79"/>
      <c r="H190" s="84"/>
      <c r="M190" s="84"/>
      <c r="N190" s="84"/>
      <c r="O190" s="100"/>
      <c r="Q190" s="35"/>
      <c r="R190" s="99"/>
      <c r="S190" s="36"/>
      <c r="T190" s="36"/>
      <c r="U190" s="36"/>
      <c r="V190" s="36"/>
      <c r="W190" s="36"/>
      <c r="X190" s="36"/>
      <c r="Y190" s="36"/>
      <c r="Z190" s="36"/>
      <c r="AA190" s="36"/>
      <c r="AB190" s="36"/>
      <c r="AC190" s="36"/>
      <c r="AD190" s="36"/>
      <c r="AE190" s="36"/>
      <c r="AF190" s="36"/>
      <c r="AG190" s="36"/>
      <c r="AH190" s="36"/>
      <c r="AI190" s="36"/>
      <c r="AJ190" s="36"/>
      <c r="AK190" s="36"/>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7" s="31" customFormat="1" ht="15.5" x14ac:dyDescent="0.3">
      <c r="B191" s="78" t="s">
        <v>480</v>
      </c>
      <c r="C191" s="34"/>
      <c r="D191" s="84"/>
      <c r="G191" s="34"/>
      <c r="H191" s="84"/>
      <c r="J191" s="33"/>
      <c r="K191" s="38"/>
      <c r="L191" s="38"/>
      <c r="M191" s="84"/>
      <c r="N191" s="84"/>
      <c r="O191" s="100"/>
      <c r="Q191" s="35"/>
      <c r="R191" s="36" t="s">
        <v>350</v>
      </c>
      <c r="S191" s="36"/>
      <c r="T191" s="36" t="s">
        <v>184</v>
      </c>
      <c r="U191" s="108"/>
      <c r="V191" s="36"/>
      <c r="W191" s="36"/>
      <c r="X191" s="36"/>
      <c r="Y191" s="36"/>
      <c r="Z191" s="36"/>
      <c r="AA191" s="36"/>
      <c r="AB191" s="36"/>
      <c r="AC191" s="36"/>
      <c r="AD191" s="36"/>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7" s="31" customFormat="1" ht="31" x14ac:dyDescent="0.3">
      <c r="B192" s="170" t="s">
        <v>539</v>
      </c>
      <c r="C192" s="156"/>
      <c r="D192" s="84" t="s">
        <v>296</v>
      </c>
      <c r="E192" s="34"/>
      <c r="G192" s="34"/>
      <c r="H192" s="84"/>
      <c r="M192" s="84"/>
      <c r="N192" s="84"/>
      <c r="O192" s="100"/>
      <c r="Q192" s="35"/>
      <c r="R192" s="109" t="str">
        <f>IF(ISNUMBER(C192),IF(AND(ISNUMBER(C190),C188="Aggregaatti"),C190*IF(D190="vuosi",365*24,IF(D190="kuukausi",30*24,IF(D190="päivä",24,1)))*Kalusto!$E$23,C192*T192),"")</f>
        <v/>
      </c>
      <c r="S192" s="102" t="s">
        <v>172</v>
      </c>
      <c r="T192" s="195" t="str">
        <f>IF(ISNUMBER(C192),IF(C188="Ostosähkö", (K188+Muut!$H$12)/1000,IF(C188="Aurinkopaneelit",(Muut!$H$24+Muut!$H$25)/1000,IF(OR(C188="Bensiini",C188="Diesel"),(Muut!$H$15+Muut!$H$14+Muut!$H$17+Muut!$H$18)/2,"Aggregaatin kerroin"))),"")</f>
        <v/>
      </c>
      <c r="U192" s="108"/>
      <c r="V192" s="36"/>
      <c r="W192" s="36"/>
      <c r="X192" s="36"/>
      <c r="Y192" s="36"/>
      <c r="Z192" s="36"/>
      <c r="AA192" s="36"/>
      <c r="AB192" s="36"/>
      <c r="AC192" s="36"/>
      <c r="AD192" s="36"/>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31" customFormat="1" ht="15.5" x14ac:dyDescent="0.3">
      <c r="B193" s="54" t="s">
        <v>481</v>
      </c>
      <c r="C193" s="34"/>
      <c r="D193" s="84"/>
      <c r="G193" s="79"/>
      <c r="H193" s="84"/>
      <c r="M193" s="84"/>
      <c r="N193" s="84"/>
      <c r="O193" s="100"/>
      <c r="Q193" s="35"/>
      <c r="R193" s="36" t="s">
        <v>350</v>
      </c>
      <c r="S193" s="36"/>
      <c r="T193" s="36" t="s">
        <v>184</v>
      </c>
      <c r="U193" s="36"/>
      <c r="V193" s="36"/>
      <c r="W193" s="36"/>
      <c r="X193" s="36"/>
      <c r="Y193" s="36"/>
      <c r="Z193" s="36"/>
      <c r="AA193" s="36"/>
      <c r="AB193" s="36"/>
      <c r="AC193" s="36"/>
      <c r="AD193" s="36"/>
      <c r="AE193" s="36"/>
      <c r="AF193" s="36"/>
      <c r="AG193" s="36"/>
      <c r="AH193" s="36"/>
      <c r="AI193" s="36"/>
      <c r="AJ193" s="36"/>
      <c r="AK193" s="36"/>
      <c r="AL193" s="36"/>
      <c r="AM193" s="36"/>
      <c r="AN193" s="37"/>
      <c r="AO193" s="37"/>
      <c r="AP193" s="37"/>
      <c r="AQ193" s="37"/>
      <c r="AR193" s="37"/>
      <c r="AS193" s="37"/>
      <c r="AT193" s="37"/>
      <c r="AU193" s="37"/>
      <c r="AV193" s="37"/>
      <c r="AW193" s="37"/>
      <c r="AX193" s="37"/>
      <c r="AY193" s="37"/>
      <c r="AZ193" s="37"/>
      <c r="BA193" s="37"/>
      <c r="BB193" s="37"/>
      <c r="BC193" s="37"/>
      <c r="BD193" s="37"/>
      <c r="BE193" s="37"/>
    </row>
    <row r="194" spans="2:59" s="31" customFormat="1" ht="15.5" x14ac:dyDescent="0.3">
      <c r="B194" s="45" t="s">
        <v>479</v>
      </c>
      <c r="C194" s="160"/>
      <c r="D194" s="84" t="s">
        <v>211</v>
      </c>
      <c r="G194" s="79"/>
      <c r="H194" s="84"/>
      <c r="M194" s="84"/>
      <c r="N194" s="84"/>
      <c r="O194" s="100"/>
      <c r="Q194" s="35"/>
      <c r="R194" s="109" t="str">
        <f>IF(ISNUMBER(C194),IF(AND(ISNUMBER(C190),C188="Aggregaatti"),C192*IF(D190="vuosi",365*24,IF(D190="kuukausi",30*24,IF(D190="päivä",24,1)))*Kalusto!$E$23,IF(D190="vuosi",365*24,IF(D190="kuukausi",30*24,IF(D190="päivä",24,1)))*C194*T194/K189),"")</f>
        <v/>
      </c>
      <c r="S194" s="102" t="s">
        <v>172</v>
      </c>
      <c r="T194" s="195" t="str">
        <f>IF(ISNUMBER(C194),IF(C188="Ostosähkö", (K188+Muut!$H$12)/1000/K189,IF(C188="Aurinkopaneelit",(Muut!$H$24+Muut!$H$25)/1000,IF(OR(C188="Bensiini",C188="Diesel"),(Muut!$H$15+Muut!$H$14+Muut!$H$17+Muut!$H$18)/2/K189,"Aggregaatin kerroin"))),"")</f>
        <v/>
      </c>
      <c r="U194" s="108"/>
      <c r="V194" s="36"/>
      <c r="W194" s="36"/>
      <c r="X194" s="36"/>
      <c r="Y194" s="36"/>
      <c r="Z194" s="36"/>
      <c r="AA194" s="36"/>
      <c r="AB194" s="36"/>
      <c r="AC194" s="36"/>
      <c r="AD194" s="36"/>
      <c r="AE194" s="36"/>
      <c r="AF194" s="36"/>
      <c r="AG194" s="36"/>
      <c r="AH194" s="36"/>
      <c r="AI194" s="36"/>
      <c r="AJ194" s="36"/>
      <c r="AK194" s="36"/>
      <c r="AL194" s="36"/>
      <c r="AM194" s="36"/>
      <c r="AN194" s="37"/>
      <c r="AO194" s="37"/>
      <c r="AP194" s="37"/>
      <c r="AQ194" s="37"/>
      <c r="AR194" s="37"/>
      <c r="AS194" s="37"/>
      <c r="AT194" s="37"/>
      <c r="AU194" s="37"/>
      <c r="AV194" s="37"/>
      <c r="AW194" s="37"/>
      <c r="AX194" s="37"/>
      <c r="AY194" s="37"/>
      <c r="AZ194" s="37"/>
      <c r="BA194" s="37"/>
      <c r="BB194" s="37"/>
      <c r="BC194" s="37"/>
      <c r="BD194" s="37"/>
      <c r="BE194" s="37"/>
    </row>
    <row r="195" spans="2:59" s="31" customFormat="1" ht="15.5" x14ac:dyDescent="0.3">
      <c r="D195" s="84"/>
      <c r="H195" s="84"/>
      <c r="J195" s="33"/>
      <c r="K195" s="38" t="s">
        <v>329</v>
      </c>
      <c r="L195" s="38" t="s">
        <v>201</v>
      </c>
      <c r="M195" s="84"/>
      <c r="N195" s="84"/>
      <c r="O195" s="100"/>
      <c r="Q195" s="35"/>
      <c r="R195" s="99"/>
      <c r="S195" s="36"/>
      <c r="T195" s="36"/>
      <c r="U195" s="36"/>
      <c r="V195" s="36"/>
      <c r="W195" s="36"/>
      <c r="X195" s="36"/>
      <c r="Y195" s="36"/>
      <c r="Z195" s="36"/>
      <c r="AA195" s="36"/>
      <c r="AB195" s="36"/>
      <c r="AC195" s="36"/>
      <c r="AD195" s="36"/>
      <c r="AE195" s="36"/>
      <c r="AF195" s="36"/>
      <c r="AG195" s="36"/>
      <c r="AH195" s="36"/>
      <c r="AI195" s="36"/>
      <c r="AJ195" s="36"/>
      <c r="AK195" s="36"/>
      <c r="AL195" s="36"/>
      <c r="AM195" s="36"/>
      <c r="AN195" s="37"/>
      <c r="AO195" s="37"/>
      <c r="AP195" s="37"/>
      <c r="AQ195" s="37"/>
      <c r="AR195" s="37"/>
      <c r="AS195" s="37"/>
      <c r="AT195" s="37"/>
      <c r="AU195" s="37"/>
      <c r="AV195" s="37"/>
      <c r="AW195" s="37"/>
      <c r="AX195" s="37"/>
      <c r="AY195" s="37"/>
      <c r="AZ195" s="37"/>
      <c r="BA195" s="37"/>
      <c r="BB195" s="37"/>
      <c r="BC195" s="37"/>
      <c r="BD195" s="37"/>
      <c r="BE195" s="37"/>
    </row>
    <row r="196" spans="2:59" s="31" customFormat="1" ht="15.5" x14ac:dyDescent="0.3">
      <c r="B196" s="54" t="s">
        <v>497</v>
      </c>
      <c r="C196" s="160"/>
      <c r="D196" s="84" t="s">
        <v>210</v>
      </c>
      <c r="G196" s="34"/>
      <c r="H196" s="84"/>
      <c r="J196" s="33" t="s">
        <v>492</v>
      </c>
      <c r="K196" s="96">
        <f>IF(ISNUMBER(L196),L196,Muut!$H$36)</f>
        <v>0.7</v>
      </c>
      <c r="L196" s="73"/>
      <c r="M196" s="84" t="s">
        <v>226</v>
      </c>
      <c r="N196" s="84"/>
      <c r="O196" s="100"/>
      <c r="Q196" s="35"/>
      <c r="R196" s="109">
        <f>IF(ISNUMBER(K196*C196),K196*C196,"")</f>
        <v>0</v>
      </c>
      <c r="S196" s="102" t="s">
        <v>172</v>
      </c>
      <c r="T196" s="36"/>
      <c r="U196" s="36"/>
      <c r="V196" s="36"/>
      <c r="W196" s="36"/>
      <c r="X196" s="36"/>
      <c r="Y196" s="36"/>
      <c r="Z196" s="36"/>
      <c r="AA196" s="36"/>
      <c r="AB196" s="36"/>
      <c r="AC196" s="36"/>
      <c r="AD196" s="36"/>
      <c r="AE196" s="36"/>
      <c r="AF196" s="36"/>
      <c r="AG196" s="36"/>
      <c r="AH196" s="36"/>
      <c r="AI196" s="36"/>
      <c r="AJ196" s="36"/>
      <c r="AK196" s="36"/>
      <c r="AL196" s="36"/>
      <c r="AM196" s="36"/>
      <c r="AN196" s="37"/>
      <c r="AO196" s="37"/>
      <c r="AP196" s="37"/>
      <c r="AQ196" s="37"/>
      <c r="AR196" s="37"/>
      <c r="AS196" s="37"/>
      <c r="AT196" s="37"/>
      <c r="AU196" s="37"/>
      <c r="AV196" s="37"/>
      <c r="AW196" s="37"/>
      <c r="AX196" s="37"/>
      <c r="AY196" s="37"/>
      <c r="AZ196" s="37"/>
      <c r="BA196" s="37"/>
      <c r="BB196" s="37"/>
      <c r="BC196" s="37"/>
      <c r="BD196" s="37"/>
      <c r="BE196" s="37"/>
    </row>
    <row r="197" spans="2:59" s="31" customFormat="1" ht="15.5" x14ac:dyDescent="0.3">
      <c r="B197" s="70" t="s">
        <v>490</v>
      </c>
      <c r="C197" s="97"/>
      <c r="D197" s="76" t="s">
        <v>210</v>
      </c>
      <c r="G197" s="34"/>
      <c r="H197" s="84"/>
      <c r="J197" s="71" t="s">
        <v>491</v>
      </c>
      <c r="K197" s="34"/>
      <c r="L197" s="34"/>
      <c r="M197" s="84"/>
      <c r="N197" s="84"/>
      <c r="O197" s="100"/>
      <c r="Q197" s="35"/>
      <c r="R197" s="99"/>
      <c r="S197" s="36"/>
      <c r="T197" s="36"/>
      <c r="U197" s="36"/>
      <c r="V197" s="36"/>
      <c r="W197" s="36"/>
      <c r="X197" s="36"/>
      <c r="Y197" s="36"/>
      <c r="Z197" s="36"/>
      <c r="AA197" s="36"/>
      <c r="AB197" s="36"/>
      <c r="AC197" s="36"/>
      <c r="AD197" s="36"/>
      <c r="AE197" s="36"/>
      <c r="AF197" s="36"/>
      <c r="AG197" s="36"/>
      <c r="AH197" s="36"/>
      <c r="AI197" s="36"/>
      <c r="AJ197" s="36"/>
      <c r="AK197" s="36"/>
      <c r="AL197" s="36"/>
      <c r="AM197" s="36"/>
      <c r="AN197" s="37"/>
      <c r="AO197" s="37"/>
      <c r="AP197" s="37"/>
      <c r="AQ197" s="37"/>
      <c r="AR197" s="37"/>
      <c r="AS197" s="37"/>
      <c r="AT197" s="37"/>
      <c r="AU197" s="37"/>
      <c r="AV197" s="37"/>
      <c r="AW197" s="37"/>
      <c r="AX197" s="37"/>
      <c r="AY197" s="37"/>
      <c r="AZ197" s="37"/>
      <c r="BA197" s="37"/>
      <c r="BB197" s="37"/>
      <c r="BC197" s="37"/>
      <c r="BD197" s="37"/>
      <c r="BE197" s="37"/>
    </row>
    <row r="198" spans="2:59" s="31" customFormat="1" ht="15.5" x14ac:dyDescent="0.3">
      <c r="B198" s="70" t="s">
        <v>13</v>
      </c>
      <c r="C198" s="97"/>
      <c r="D198" s="76" t="s">
        <v>210</v>
      </c>
      <c r="G198" s="34"/>
      <c r="H198" s="84"/>
      <c r="J198" s="71" t="s">
        <v>279</v>
      </c>
      <c r="K198" s="34"/>
      <c r="L198" s="34"/>
      <c r="M198" s="84"/>
      <c r="N198" s="84"/>
      <c r="O198" s="100"/>
      <c r="Q198" s="35"/>
      <c r="R198" s="99"/>
      <c r="S198" s="36"/>
      <c r="T198" s="36"/>
      <c r="U198" s="36"/>
      <c r="V198" s="36"/>
      <c r="W198" s="36"/>
      <c r="X198" s="36"/>
      <c r="Y198" s="36"/>
      <c r="Z198" s="36"/>
      <c r="AA198" s="36"/>
      <c r="AB198" s="36"/>
      <c r="AC198" s="36"/>
      <c r="AD198" s="36"/>
      <c r="AE198" s="36"/>
      <c r="AF198" s="36"/>
      <c r="AG198" s="36"/>
      <c r="AH198" s="36"/>
      <c r="AI198" s="36"/>
      <c r="AJ198" s="36"/>
      <c r="AK198" s="36"/>
      <c r="AL198" s="36"/>
      <c r="AM198" s="36"/>
      <c r="AN198" s="37"/>
      <c r="AO198" s="37"/>
      <c r="AP198" s="37"/>
      <c r="AQ198" s="37"/>
      <c r="AR198" s="37"/>
      <c r="AS198" s="37"/>
      <c r="AT198" s="37"/>
      <c r="AU198" s="37"/>
      <c r="AV198" s="37"/>
      <c r="AW198" s="37"/>
      <c r="AX198" s="37"/>
      <c r="AY198" s="37"/>
      <c r="AZ198" s="37"/>
      <c r="BA198" s="37"/>
      <c r="BB198" s="37"/>
      <c r="BC198" s="37"/>
      <c r="BD198" s="37"/>
      <c r="BE198" s="37"/>
    </row>
    <row r="199" spans="2:59" s="31" customFormat="1" ht="15.5" x14ac:dyDescent="0.3">
      <c r="C199" s="34"/>
      <c r="D199" s="84"/>
      <c r="G199" s="34"/>
      <c r="H199" s="84"/>
      <c r="P199" s="69"/>
      <c r="Q199" s="108"/>
      <c r="R199" s="98"/>
      <c r="S199" s="108"/>
      <c r="T199" s="37"/>
      <c r="U199" s="36"/>
      <c r="V199" s="36"/>
      <c r="W199" s="36"/>
      <c r="X199" s="36"/>
      <c r="Y199" s="36"/>
      <c r="Z199" s="36"/>
      <c r="AA199" s="36"/>
      <c r="AB199" s="36"/>
      <c r="AC199" s="36"/>
      <c r="AD199" s="36"/>
      <c r="AE199" s="36"/>
      <c r="AF199" s="36"/>
      <c r="AG199" s="36"/>
      <c r="AH199" s="36"/>
      <c r="AI199" s="36"/>
      <c r="AJ199" s="36"/>
      <c r="AK199" s="36"/>
      <c r="AL199" s="36"/>
      <c r="AM199" s="36"/>
      <c r="AN199" s="36"/>
      <c r="AO199" s="36"/>
      <c r="AP199" s="37"/>
      <c r="AQ199" s="37"/>
      <c r="AR199" s="37"/>
      <c r="AS199" s="37"/>
      <c r="AT199" s="37"/>
      <c r="AU199" s="37"/>
      <c r="AV199" s="37"/>
      <c r="AW199" s="37"/>
      <c r="AX199" s="37"/>
      <c r="AY199" s="37"/>
      <c r="AZ199" s="37"/>
      <c r="BA199" s="37"/>
      <c r="BB199" s="37"/>
      <c r="BC199" s="37"/>
      <c r="BD199" s="37"/>
      <c r="BE199" s="37"/>
      <c r="BF199" s="37"/>
      <c r="BG199" s="37"/>
    </row>
    <row r="200" spans="2:59" s="298" customFormat="1" ht="18" x14ac:dyDescent="0.3">
      <c r="B200" s="295" t="s">
        <v>56</v>
      </c>
      <c r="C200" s="296"/>
      <c r="D200" s="297"/>
      <c r="G200" s="296"/>
      <c r="H200" s="297"/>
      <c r="K200" s="296"/>
      <c r="L200" s="296"/>
      <c r="M200" s="297"/>
      <c r="N200" s="297"/>
      <c r="O200" s="300"/>
      <c r="P200" s="320"/>
      <c r="Q200" s="304"/>
      <c r="S200" s="303"/>
      <c r="T200" s="303"/>
      <c r="U200" s="303"/>
      <c r="V200" s="303"/>
      <c r="W200" s="303"/>
      <c r="X200" s="303"/>
      <c r="Y200" s="303"/>
      <c r="Z200" s="303"/>
      <c r="AA200" s="303"/>
      <c r="AB200" s="303"/>
      <c r="AC200" s="303"/>
      <c r="AD200" s="303"/>
      <c r="AE200" s="303"/>
      <c r="AF200" s="303"/>
      <c r="AG200" s="303"/>
      <c r="AH200" s="303"/>
      <c r="AI200" s="303"/>
      <c r="AJ200" s="303"/>
      <c r="AK200" s="303"/>
      <c r="AL200" s="303"/>
      <c r="AM200" s="303"/>
      <c r="AN200" s="304"/>
      <c r="AO200" s="304"/>
      <c r="AP200" s="304"/>
      <c r="AQ200" s="304"/>
      <c r="AR200" s="304"/>
      <c r="AS200" s="304"/>
      <c r="AT200" s="304"/>
      <c r="AU200" s="304"/>
      <c r="AV200" s="304"/>
      <c r="AW200" s="304"/>
      <c r="AX200" s="304"/>
      <c r="AY200" s="304"/>
      <c r="AZ200" s="304"/>
      <c r="BA200" s="304"/>
      <c r="BB200" s="304"/>
      <c r="BC200" s="304"/>
      <c r="BD200" s="304"/>
      <c r="BE200" s="304"/>
    </row>
    <row r="201" spans="2:59" s="31" customFormat="1" ht="15.5" x14ac:dyDescent="0.3">
      <c r="B201" s="9"/>
      <c r="C201" s="34"/>
      <c r="D201" s="84"/>
      <c r="G201" s="34"/>
      <c r="H201" s="84"/>
      <c r="J201" s="33"/>
      <c r="K201" s="38" t="s">
        <v>329</v>
      </c>
      <c r="L201" s="38" t="s">
        <v>201</v>
      </c>
      <c r="M201" s="84"/>
      <c r="N201" s="84"/>
      <c r="O201" s="255" t="s">
        <v>644</v>
      </c>
      <c r="Q201" s="133"/>
      <c r="R201" s="36" t="s">
        <v>350</v>
      </c>
      <c r="S201" s="36"/>
      <c r="T201" s="37"/>
      <c r="U201" s="36"/>
      <c r="V201" s="36"/>
      <c r="W201" s="36"/>
      <c r="X201" s="36"/>
      <c r="Y201" s="36"/>
      <c r="Z201" s="36"/>
      <c r="AA201" s="36"/>
      <c r="AB201" s="36"/>
      <c r="AC201" s="36"/>
      <c r="AD201" s="36"/>
      <c r="AE201" s="36"/>
      <c r="AF201" s="36"/>
      <c r="AG201" s="36"/>
      <c r="AH201" s="36"/>
      <c r="AI201" s="36"/>
      <c r="AJ201" s="36"/>
      <c r="AK201" s="36"/>
      <c r="AL201" s="36"/>
      <c r="AM201" s="36"/>
      <c r="AN201" s="36"/>
      <c r="AO201" s="36"/>
      <c r="AP201" s="37"/>
      <c r="AQ201" s="37"/>
      <c r="AR201" s="37"/>
      <c r="AS201" s="37"/>
      <c r="AT201" s="37"/>
      <c r="AU201" s="37"/>
      <c r="AV201" s="37"/>
      <c r="AW201" s="37"/>
      <c r="AX201" s="37"/>
      <c r="AY201" s="37"/>
      <c r="AZ201" s="37"/>
      <c r="BA201" s="37"/>
      <c r="BB201" s="37"/>
      <c r="BC201" s="37"/>
      <c r="BD201" s="37"/>
      <c r="BE201" s="37"/>
      <c r="BF201" s="37"/>
      <c r="BG201" s="37"/>
    </row>
    <row r="202" spans="2:59" s="31" customFormat="1" ht="31" x14ac:dyDescent="0.3">
      <c r="B202" s="78" t="s">
        <v>601</v>
      </c>
      <c r="C202" s="392" t="s">
        <v>314</v>
      </c>
      <c r="D202" s="394"/>
      <c r="E202" s="34"/>
      <c r="G202" s="34"/>
      <c r="H202" s="84"/>
      <c r="J202" s="33" t="s">
        <v>534</v>
      </c>
      <c r="K202" s="138">
        <f>IF(ISNUMBER(L202),L202,Muut!$H$10)</f>
        <v>60</v>
      </c>
      <c r="L202" s="73"/>
      <c r="M202" s="86" t="s">
        <v>535</v>
      </c>
      <c r="N202" s="86"/>
      <c r="O202" s="256"/>
      <c r="Q202" s="133"/>
      <c r="R202" s="109" t="str">
        <f>IF(ISNUMBER(R206),R206,IF(ISNUMBER(R208),R208,""))</f>
        <v/>
      </c>
      <c r="S202" s="102" t="s">
        <v>172</v>
      </c>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7"/>
      <c r="AQ202" s="37"/>
      <c r="AR202" s="37"/>
      <c r="AS202" s="37"/>
      <c r="AT202" s="37"/>
      <c r="AU202" s="37"/>
      <c r="AV202" s="37"/>
      <c r="AW202" s="37"/>
      <c r="AX202" s="37"/>
      <c r="AY202" s="37"/>
      <c r="AZ202" s="37"/>
      <c r="BA202" s="37"/>
      <c r="BB202" s="37"/>
      <c r="BC202" s="37"/>
      <c r="BD202" s="37"/>
      <c r="BE202" s="37"/>
      <c r="BF202" s="37"/>
      <c r="BG202" s="37"/>
    </row>
    <row r="203" spans="2:59" s="31" customFormat="1" ht="15.5" x14ac:dyDescent="0.3">
      <c r="B203" s="170" t="s">
        <v>536</v>
      </c>
      <c r="C203" s="160"/>
      <c r="D203" s="84" t="s">
        <v>8</v>
      </c>
      <c r="E203" s="34"/>
      <c r="G203" s="34"/>
      <c r="H203" s="84"/>
      <c r="J203" s="33" t="s">
        <v>537</v>
      </c>
      <c r="K203" s="96">
        <f>IF(ISNUMBER(L203),L203,IF(OR(C202="Bensiini",C202="Diesel"),Muut!$H$34,Muut!$H$35))</f>
        <v>0.95</v>
      </c>
      <c r="L203" s="175" t="str">
        <f>IF(ISNUMBER(C203),C203,"--")</f>
        <v>--</v>
      </c>
      <c r="M203" s="86"/>
      <c r="N203" s="86"/>
      <c r="O203" s="266"/>
      <c r="Q203" s="35"/>
      <c r="R203" s="61"/>
      <c r="S203" s="102"/>
      <c r="T203" s="36"/>
      <c r="U203" s="36"/>
      <c r="V203" s="36"/>
      <c r="W203" s="36"/>
      <c r="X203" s="36"/>
      <c r="Y203" s="36"/>
      <c r="Z203" s="36"/>
      <c r="AA203" s="36"/>
      <c r="AB203" s="36"/>
      <c r="AC203" s="36"/>
      <c r="AD203" s="36"/>
      <c r="AE203" s="36"/>
      <c r="AF203" s="36"/>
      <c r="AG203" s="36"/>
      <c r="AH203" s="36"/>
      <c r="AI203" s="36"/>
      <c r="AJ203" s="36"/>
      <c r="AK203" s="36"/>
      <c r="AL203" s="36"/>
      <c r="AM203" s="36"/>
      <c r="AN203" s="37"/>
      <c r="AO203" s="37"/>
      <c r="AP203" s="37"/>
      <c r="AQ203" s="37"/>
      <c r="AR203" s="37"/>
      <c r="AS203" s="37"/>
      <c r="AT203" s="37"/>
      <c r="AU203" s="37"/>
      <c r="AV203" s="37"/>
      <c r="AW203" s="37"/>
      <c r="AX203" s="37"/>
      <c r="AY203" s="37"/>
      <c r="AZ203" s="37"/>
      <c r="BA203" s="37"/>
      <c r="BB203" s="37"/>
      <c r="BC203" s="37"/>
      <c r="BD203" s="37"/>
      <c r="BE203" s="37"/>
    </row>
    <row r="204" spans="2:59" s="31" customFormat="1" ht="15.5" x14ac:dyDescent="0.3">
      <c r="B204" s="54" t="s">
        <v>315</v>
      </c>
      <c r="C204" s="160"/>
      <c r="D204" s="94" t="s">
        <v>301</v>
      </c>
      <c r="E204" s="79"/>
      <c r="G204" s="79"/>
      <c r="H204" s="84"/>
      <c r="M204" s="84"/>
      <c r="N204" s="84"/>
      <c r="O204" s="100"/>
      <c r="Q204" s="133"/>
      <c r="R204" s="99"/>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7"/>
      <c r="AQ204" s="37"/>
      <c r="AR204" s="37"/>
      <c r="AS204" s="37"/>
      <c r="AT204" s="37"/>
      <c r="AU204" s="37"/>
      <c r="AV204" s="37"/>
      <c r="AW204" s="37"/>
      <c r="AX204" s="37"/>
      <c r="AY204" s="37"/>
      <c r="AZ204" s="37"/>
      <c r="BA204" s="37"/>
      <c r="BB204" s="37"/>
      <c r="BC204" s="37"/>
      <c r="BD204" s="37"/>
      <c r="BE204" s="37"/>
      <c r="BF204" s="37"/>
      <c r="BG204" s="37"/>
    </row>
    <row r="205" spans="2:59" s="31" customFormat="1" ht="15.5" x14ac:dyDescent="0.3">
      <c r="B205" s="54" t="s">
        <v>600</v>
      </c>
      <c r="C205" s="34"/>
      <c r="D205" s="84"/>
      <c r="G205" s="34"/>
      <c r="H205" s="84"/>
      <c r="J205" s="33"/>
      <c r="K205" s="38"/>
      <c r="L205" s="38"/>
      <c r="M205" s="84"/>
      <c r="N205" s="84"/>
      <c r="O205" s="100"/>
      <c r="Q205" s="133"/>
      <c r="R205" s="36" t="s">
        <v>350</v>
      </c>
      <c r="S205" s="36"/>
      <c r="T205" s="36" t="s">
        <v>184</v>
      </c>
      <c r="U205" s="36"/>
      <c r="V205" s="36"/>
      <c r="W205" s="36"/>
      <c r="X205" s="36"/>
      <c r="Y205" s="36"/>
      <c r="Z205" s="36"/>
      <c r="AA205" s="36"/>
      <c r="AB205" s="36"/>
      <c r="AC205" s="36"/>
      <c r="AD205" s="36"/>
      <c r="AE205" s="36"/>
      <c r="AF205" s="36"/>
      <c r="AG205" s="36"/>
      <c r="AH205" s="36"/>
      <c r="AI205" s="36"/>
      <c r="AJ205" s="36"/>
      <c r="AK205" s="36"/>
      <c r="AL205" s="36"/>
      <c r="AM205" s="36"/>
      <c r="AN205" s="36"/>
      <c r="AO205" s="36"/>
      <c r="AP205" s="37"/>
      <c r="AQ205" s="37"/>
      <c r="AR205" s="37"/>
      <c r="AS205" s="37"/>
      <c r="AT205" s="37"/>
      <c r="AU205" s="37"/>
      <c r="AV205" s="37"/>
      <c r="AW205" s="37"/>
      <c r="AX205" s="37"/>
      <c r="AY205" s="37"/>
      <c r="AZ205" s="37"/>
      <c r="BA205" s="37"/>
      <c r="BB205" s="37"/>
      <c r="BC205" s="37"/>
      <c r="BD205" s="37"/>
      <c r="BE205" s="37"/>
      <c r="BF205" s="37"/>
      <c r="BG205" s="37"/>
    </row>
    <row r="206" spans="2:59" s="31" customFormat="1" ht="31" x14ac:dyDescent="0.3">
      <c r="B206" s="170" t="s">
        <v>605</v>
      </c>
      <c r="C206" s="156"/>
      <c r="D206" s="84" t="s">
        <v>296</v>
      </c>
      <c r="E206" s="34"/>
      <c r="G206" s="34"/>
      <c r="H206" s="84"/>
      <c r="M206" s="84"/>
      <c r="N206" s="84"/>
      <c r="O206" s="100"/>
      <c r="Q206" s="133"/>
      <c r="R206" s="109" t="str">
        <f>IF(ISNUMBER(C206),IF(AND(ISNUMBER(C204),C202="Aggregaatti"),C204*IF(D204="vuosi",365*24,IF(D204="kuukausi",30*24,IF(D204="päivä",24,1)))*Kalusto!$E$23,C206*T206),"")</f>
        <v/>
      </c>
      <c r="S206" s="102" t="s">
        <v>172</v>
      </c>
      <c r="T206" s="195" t="str">
        <f>IF(ISNUMBER(C206),IF(C202="Ostosähkö", (K202+Muut!$H$12)/1000,IF(C202="Aurinkopaneelit",(Muut!$H$24+Muut!$H$25)/1000,IF(OR(C202="Bensiini",C202="Diesel"),(Muut!$H$15+Muut!$H$14+Muut!$H$17+Muut!$H$18)/2,"Aggregaatin kerroin"))),"")</f>
        <v/>
      </c>
      <c r="U206" s="36"/>
      <c r="V206" s="36"/>
      <c r="W206" s="36"/>
      <c r="X206" s="36"/>
      <c r="Y206" s="36"/>
      <c r="Z206" s="36"/>
      <c r="AA206" s="36"/>
      <c r="AB206" s="36"/>
      <c r="AC206" s="36"/>
      <c r="AD206" s="36"/>
      <c r="AE206" s="36"/>
      <c r="AF206" s="36"/>
      <c r="AG206" s="36"/>
      <c r="AH206" s="36"/>
      <c r="AI206" s="36"/>
      <c r="AJ206" s="36"/>
      <c r="AK206" s="36"/>
      <c r="AL206" s="36"/>
      <c r="AM206" s="36"/>
      <c r="AN206" s="36"/>
      <c r="AO206" s="36"/>
      <c r="AP206" s="37"/>
      <c r="AQ206" s="37"/>
      <c r="AR206" s="37"/>
      <c r="AS206" s="37"/>
      <c r="AT206" s="37"/>
      <c r="AU206" s="37"/>
      <c r="AV206" s="37"/>
      <c r="AW206" s="37"/>
      <c r="AX206" s="37"/>
      <c r="AY206" s="37"/>
      <c r="AZ206" s="37"/>
      <c r="BA206" s="37"/>
      <c r="BB206" s="37"/>
      <c r="BC206" s="37"/>
      <c r="BD206" s="37"/>
      <c r="BE206" s="37"/>
      <c r="BF206" s="37"/>
      <c r="BG206" s="37"/>
    </row>
    <row r="207" spans="2:59" s="31" customFormat="1" ht="15.5" x14ac:dyDescent="0.3">
      <c r="B207" s="54" t="s">
        <v>604</v>
      </c>
      <c r="C207" s="34"/>
      <c r="D207" s="84"/>
      <c r="G207" s="79"/>
      <c r="H207" s="84"/>
      <c r="M207" s="84"/>
      <c r="N207" s="84"/>
      <c r="O207" s="100"/>
      <c r="Q207" s="133"/>
      <c r="R207" s="36" t="s">
        <v>350</v>
      </c>
      <c r="S207" s="36"/>
      <c r="T207" s="36" t="s">
        <v>184</v>
      </c>
      <c r="U207" s="36"/>
      <c r="V207" s="36"/>
      <c r="W207" s="36"/>
      <c r="X207" s="36"/>
      <c r="Y207" s="36"/>
      <c r="Z207" s="36"/>
      <c r="AA207" s="36"/>
      <c r="AB207" s="36"/>
      <c r="AC207" s="36"/>
      <c r="AD207" s="36"/>
      <c r="AE207" s="36"/>
      <c r="AF207" s="36"/>
      <c r="AG207" s="36"/>
      <c r="AH207" s="36"/>
      <c r="AI207" s="36"/>
      <c r="AJ207" s="36"/>
      <c r="AK207" s="36"/>
      <c r="AL207" s="36"/>
      <c r="AM207" s="36"/>
      <c r="AN207" s="36"/>
      <c r="AO207" s="36"/>
      <c r="AP207" s="37"/>
      <c r="AQ207" s="37"/>
      <c r="AR207" s="37"/>
      <c r="AS207" s="37"/>
      <c r="AT207" s="37"/>
      <c r="AU207" s="37"/>
      <c r="AV207" s="37"/>
      <c r="AW207" s="37"/>
      <c r="AX207" s="37"/>
      <c r="AY207" s="37"/>
      <c r="AZ207" s="37"/>
      <c r="BA207" s="37"/>
      <c r="BB207" s="37"/>
      <c r="BC207" s="37"/>
      <c r="BD207" s="37"/>
      <c r="BE207" s="37"/>
      <c r="BF207" s="37"/>
      <c r="BG207" s="37"/>
    </row>
    <row r="208" spans="2:59" s="31" customFormat="1" ht="15.5" x14ac:dyDescent="0.3">
      <c r="B208" s="45" t="s">
        <v>603</v>
      </c>
      <c r="C208" s="160"/>
      <c r="D208" s="84" t="s">
        <v>211</v>
      </c>
      <c r="G208" s="79"/>
      <c r="H208" s="84"/>
      <c r="M208" s="84"/>
      <c r="N208" s="84"/>
      <c r="O208" s="100"/>
      <c r="Q208" s="133"/>
      <c r="R208" s="109" t="str">
        <f>IF(ISNUMBER(C208),IF(AND(ISNUMBER(C204),C202="Aggregaatti"),C206*IF(D204="vuosi",365*24,IF(D204="kuukausi",30*24,IF(D204="päivä",24,1)))*Kalusto!$E$23,IF(D204="vuosi",365*24,IF(D204="kuukausi",30*24,IF(D204="päivä",24,1)))*C208*T208/K203),"")</f>
        <v/>
      </c>
      <c r="S208" s="102" t="s">
        <v>172</v>
      </c>
      <c r="T208" s="195" t="str">
        <f>IF(ISNUMBER(C208),IF(C202="Ostosähkö", (K202+Muut!$H$12)/1000/K203,IF(C202="Aurinkopaneelit",(Muut!$H$24+Muut!$H$25)/1000,IF(OR(C202="Bensiini",C202="Diesel"),(Muut!$H$15+Muut!$H$14+Muut!$H$17+Muut!$H$18)/2/K203,"Aggregaatin kerroin"))),"")</f>
        <v/>
      </c>
      <c r="U208" s="36"/>
      <c r="V208" s="36"/>
      <c r="W208" s="36"/>
      <c r="X208" s="36"/>
      <c r="Y208" s="36"/>
      <c r="Z208" s="36"/>
      <c r="AA208" s="36"/>
      <c r="AB208" s="36"/>
      <c r="AC208" s="36"/>
      <c r="AD208" s="36"/>
      <c r="AE208" s="36"/>
      <c r="AF208" s="36"/>
      <c r="AG208" s="36"/>
      <c r="AH208" s="36"/>
      <c r="AI208" s="36"/>
      <c r="AJ208" s="36"/>
      <c r="AK208" s="36"/>
      <c r="AL208" s="36"/>
      <c r="AM208" s="36"/>
      <c r="AN208" s="36"/>
      <c r="AO208" s="36"/>
      <c r="AP208" s="37"/>
      <c r="AQ208" s="37"/>
      <c r="AR208" s="37"/>
      <c r="AS208" s="37"/>
      <c r="AT208" s="37"/>
      <c r="AU208" s="37"/>
      <c r="AV208" s="37"/>
      <c r="AW208" s="37"/>
      <c r="AX208" s="37"/>
      <c r="AY208" s="37"/>
      <c r="AZ208" s="37"/>
      <c r="BA208" s="37"/>
      <c r="BB208" s="37"/>
      <c r="BC208" s="37"/>
      <c r="BD208" s="37"/>
      <c r="BE208" s="37"/>
      <c r="BF208" s="37"/>
      <c r="BG208" s="37"/>
    </row>
    <row r="209" spans="2:59" s="31" customFormat="1" ht="15.5" x14ac:dyDescent="0.3">
      <c r="D209" s="84"/>
      <c r="H209" s="84"/>
      <c r="M209" s="84"/>
      <c r="N209" s="84"/>
      <c r="O209" s="84"/>
      <c r="Q209" s="133"/>
      <c r="R209" s="98"/>
      <c r="S209" s="108"/>
      <c r="T209" s="37"/>
      <c r="U209" s="36"/>
      <c r="V209" s="36"/>
      <c r="W209" s="36"/>
      <c r="X209" s="36"/>
      <c r="Y209" s="36"/>
      <c r="Z209" s="36"/>
      <c r="AA209" s="36"/>
      <c r="AB209" s="36"/>
      <c r="AC209" s="36"/>
      <c r="AD209" s="36"/>
      <c r="AE209" s="36"/>
      <c r="AF209" s="36"/>
      <c r="AG209" s="36"/>
      <c r="AH209" s="36"/>
      <c r="AI209" s="36"/>
      <c r="AJ209" s="36"/>
      <c r="AK209" s="36"/>
      <c r="AL209" s="36"/>
      <c r="AM209" s="36"/>
      <c r="AN209" s="36"/>
      <c r="AO209" s="36"/>
      <c r="AP209" s="37"/>
      <c r="AQ209" s="37"/>
      <c r="AR209" s="37"/>
      <c r="AS209" s="37"/>
      <c r="AT209" s="37"/>
      <c r="AU209" s="37"/>
      <c r="AV209" s="37"/>
      <c r="AW209" s="37"/>
      <c r="AX209" s="37"/>
      <c r="AY209" s="37"/>
      <c r="AZ209" s="37"/>
      <c r="BA209" s="37"/>
      <c r="BB209" s="37"/>
      <c r="BC209" s="37"/>
      <c r="BD209" s="37"/>
      <c r="BE209" s="37"/>
      <c r="BF209" s="37"/>
      <c r="BG209" s="37"/>
    </row>
    <row r="210" spans="2:59" s="298" customFormat="1" ht="18" x14ac:dyDescent="0.3">
      <c r="B210" s="295" t="s">
        <v>321</v>
      </c>
      <c r="C210" s="296"/>
      <c r="D210" s="297"/>
      <c r="G210" s="296"/>
      <c r="H210" s="297"/>
      <c r="K210" s="296"/>
      <c r="L210" s="296"/>
      <c r="M210" s="297"/>
      <c r="N210" s="297"/>
      <c r="O210" s="300"/>
      <c r="P210" s="320"/>
      <c r="Q210" s="304"/>
      <c r="S210" s="303"/>
      <c r="T210" s="303"/>
      <c r="U210" s="303"/>
      <c r="V210" s="303"/>
      <c r="W210" s="303"/>
      <c r="X210" s="303"/>
      <c r="Y210" s="303"/>
      <c r="Z210" s="303"/>
      <c r="AA210" s="303"/>
      <c r="AB210" s="303"/>
      <c r="AC210" s="303"/>
      <c r="AD210" s="303"/>
      <c r="AE210" s="303"/>
      <c r="AF210" s="303"/>
      <c r="AG210" s="303"/>
      <c r="AH210" s="303"/>
      <c r="AI210" s="303"/>
      <c r="AJ210" s="303"/>
      <c r="AK210" s="303"/>
      <c r="AL210" s="303"/>
      <c r="AM210" s="303"/>
      <c r="AN210" s="304"/>
      <c r="AO210" s="304"/>
      <c r="AP210" s="304"/>
      <c r="AQ210" s="304"/>
      <c r="AR210" s="304"/>
      <c r="AS210" s="304"/>
      <c r="AT210" s="304"/>
      <c r="AU210" s="304"/>
      <c r="AV210" s="304"/>
      <c r="AW210" s="304"/>
      <c r="AX210" s="304"/>
      <c r="AY210" s="304"/>
      <c r="AZ210" s="304"/>
      <c r="BA210" s="304"/>
      <c r="BB210" s="304"/>
      <c r="BC210" s="304"/>
      <c r="BD210" s="304"/>
      <c r="BE210" s="304"/>
    </row>
    <row r="211" spans="2:59" s="31" customFormat="1" ht="15.5" x14ac:dyDescent="0.3">
      <c r="B211" s="9"/>
      <c r="C211" s="34"/>
      <c r="D211" s="84"/>
      <c r="G211" s="34"/>
      <c r="J211" s="33"/>
      <c r="K211" s="38" t="s">
        <v>329</v>
      </c>
      <c r="L211" s="38" t="s">
        <v>201</v>
      </c>
      <c r="M211" s="34"/>
      <c r="N211" s="34"/>
      <c r="O211" s="255" t="s">
        <v>644</v>
      </c>
      <c r="Q211" s="133"/>
      <c r="R211" s="36" t="s">
        <v>350</v>
      </c>
      <c r="S211" s="36"/>
      <c r="T211" s="37"/>
      <c r="U211" s="36"/>
      <c r="V211" s="36"/>
      <c r="W211" s="36"/>
      <c r="X211" s="36"/>
      <c r="Y211" s="36"/>
      <c r="Z211" s="36"/>
      <c r="AA211" s="36"/>
      <c r="AB211" s="36"/>
      <c r="AC211" s="36"/>
      <c r="AD211" s="36"/>
      <c r="AE211" s="36"/>
      <c r="AF211" s="36"/>
      <c r="AG211" s="36"/>
      <c r="AH211" s="36"/>
      <c r="AI211" s="36"/>
      <c r="AJ211" s="36"/>
      <c r="AK211" s="36"/>
      <c r="AL211" s="36"/>
      <c r="AM211" s="36"/>
      <c r="AN211" s="36"/>
      <c r="AO211" s="36"/>
      <c r="AP211" s="37"/>
      <c r="AQ211" s="37"/>
      <c r="AR211" s="37"/>
      <c r="AS211" s="37"/>
      <c r="AT211" s="37"/>
      <c r="AU211" s="37"/>
      <c r="AV211" s="37"/>
      <c r="AW211" s="37"/>
      <c r="AX211" s="37"/>
      <c r="AY211" s="37"/>
      <c r="AZ211" s="37"/>
      <c r="BA211" s="37"/>
      <c r="BB211" s="37"/>
      <c r="BC211" s="37"/>
      <c r="BD211" s="37"/>
      <c r="BE211" s="37"/>
      <c r="BF211" s="37"/>
      <c r="BG211" s="37"/>
    </row>
    <row r="212" spans="2:59" s="31" customFormat="1" ht="31" x14ac:dyDescent="0.3">
      <c r="B212" s="78" t="s">
        <v>601</v>
      </c>
      <c r="C212" s="392" t="s">
        <v>314</v>
      </c>
      <c r="D212" s="394"/>
      <c r="E212" s="34"/>
      <c r="G212" s="34"/>
      <c r="H212" s="84"/>
      <c r="J212" s="33" t="s">
        <v>534</v>
      </c>
      <c r="K212" s="138">
        <f>IF(ISNUMBER(L212),L212,Muut!$H$10)</f>
        <v>60</v>
      </c>
      <c r="L212" s="73"/>
      <c r="M212" s="86" t="s">
        <v>535</v>
      </c>
      <c r="N212" s="86"/>
      <c r="O212" s="256"/>
      <c r="Q212" s="133"/>
      <c r="R212" s="109" t="str">
        <f>IF(ISNUMBER(R216),R216,IF(ISNUMBER(R218),R218,""))</f>
        <v/>
      </c>
      <c r="S212" s="102" t="s">
        <v>172</v>
      </c>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7"/>
      <c r="AQ212" s="37"/>
      <c r="AR212" s="37"/>
      <c r="AS212" s="37"/>
      <c r="AT212" s="37"/>
      <c r="AU212" s="37"/>
      <c r="AV212" s="37"/>
      <c r="AW212" s="37"/>
      <c r="AX212" s="37"/>
      <c r="AY212" s="37"/>
      <c r="AZ212" s="37"/>
      <c r="BA212" s="37"/>
      <c r="BB212" s="37"/>
      <c r="BC212" s="37"/>
      <c r="BD212" s="37"/>
      <c r="BE212" s="37"/>
      <c r="BF212" s="37"/>
      <c r="BG212" s="37"/>
    </row>
    <row r="213" spans="2:59" s="31" customFormat="1" ht="15.5" x14ac:dyDescent="0.3">
      <c r="B213" s="170" t="s">
        <v>536</v>
      </c>
      <c r="C213" s="160"/>
      <c r="D213" s="84" t="s">
        <v>8</v>
      </c>
      <c r="G213" s="34"/>
      <c r="H213" s="84"/>
      <c r="J213" s="33" t="s">
        <v>537</v>
      </c>
      <c r="K213" s="96">
        <f>IF(ISNUMBER(L213),L213,IF(OR(C212="Bensiini",C212="Diesel"),Muut!$H$34,Muut!$H$35))</f>
        <v>0.95</v>
      </c>
      <c r="L213" s="175" t="str">
        <f>IF(ISNUMBER(C213),C213,"--")</f>
        <v>--</v>
      </c>
      <c r="M213" s="86"/>
      <c r="N213" s="86"/>
      <c r="O213" s="266"/>
      <c r="Q213" s="35"/>
      <c r="R213" s="61"/>
      <c r="S213" s="102"/>
      <c r="T213" s="36"/>
      <c r="U213" s="36"/>
      <c r="V213" s="36"/>
      <c r="W213" s="36"/>
      <c r="X213" s="36"/>
      <c r="Y213" s="36"/>
      <c r="Z213" s="36"/>
      <c r="AA213" s="36"/>
      <c r="AB213" s="36"/>
      <c r="AC213" s="36"/>
      <c r="AD213" s="36"/>
      <c r="AE213" s="36"/>
      <c r="AF213" s="36"/>
      <c r="AG213" s="36"/>
      <c r="AH213" s="36"/>
      <c r="AI213" s="36"/>
      <c r="AJ213" s="36"/>
      <c r="AK213" s="36"/>
      <c r="AL213" s="36"/>
      <c r="AM213" s="36"/>
      <c r="AN213" s="37"/>
      <c r="AO213" s="37"/>
      <c r="AP213" s="37"/>
      <c r="AQ213" s="37"/>
      <c r="AR213" s="37"/>
      <c r="AS213" s="37"/>
      <c r="AT213" s="37"/>
      <c r="AU213" s="37"/>
      <c r="AV213" s="37"/>
      <c r="AW213" s="37"/>
      <c r="AX213" s="37"/>
      <c r="AY213" s="37"/>
      <c r="AZ213" s="37"/>
      <c r="BA213" s="37"/>
      <c r="BB213" s="37"/>
      <c r="BC213" s="37"/>
      <c r="BD213" s="37"/>
      <c r="BE213" s="37"/>
    </row>
    <row r="214" spans="2:59" s="31" customFormat="1" ht="15.5" x14ac:dyDescent="0.3">
      <c r="B214" s="54" t="s">
        <v>315</v>
      </c>
      <c r="C214" s="160"/>
      <c r="D214" s="89" t="s">
        <v>301</v>
      </c>
      <c r="E214" s="79"/>
      <c r="G214" s="79"/>
      <c r="H214" s="84"/>
      <c r="M214" s="84"/>
      <c r="N214" s="84"/>
      <c r="O214" s="100"/>
      <c r="Q214" s="133"/>
      <c r="R214" s="99"/>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7"/>
      <c r="AQ214" s="37"/>
      <c r="AR214" s="37"/>
      <c r="AS214" s="37"/>
      <c r="AT214" s="37"/>
      <c r="AU214" s="37"/>
      <c r="AV214" s="37"/>
      <c r="AW214" s="37"/>
      <c r="AX214" s="37"/>
      <c r="AY214" s="37"/>
      <c r="AZ214" s="37"/>
      <c r="BA214" s="37"/>
      <c r="BB214" s="37"/>
      <c r="BC214" s="37"/>
      <c r="BD214" s="37"/>
      <c r="BE214" s="37"/>
      <c r="BF214" s="37"/>
      <c r="BG214" s="37"/>
    </row>
    <row r="215" spans="2:59" s="31" customFormat="1" ht="15.5" x14ac:dyDescent="0.3">
      <c r="B215" s="54" t="s">
        <v>600</v>
      </c>
      <c r="C215" s="34"/>
      <c r="D215" s="84"/>
      <c r="G215" s="34"/>
      <c r="H215" s="84"/>
      <c r="J215" s="33"/>
      <c r="K215" s="38"/>
      <c r="L215" s="38"/>
      <c r="M215" s="84"/>
      <c r="N215" s="84"/>
      <c r="O215" s="100"/>
      <c r="Q215" s="133"/>
      <c r="R215" s="36" t="s">
        <v>350</v>
      </c>
      <c r="S215" s="36"/>
      <c r="T215" s="36" t="s">
        <v>184</v>
      </c>
      <c r="U215" s="36"/>
      <c r="V215" s="108"/>
      <c r="W215" s="108"/>
      <c r="X215" s="36"/>
      <c r="Y215" s="36"/>
      <c r="Z215" s="36"/>
      <c r="AA215" s="36"/>
      <c r="AB215" s="36"/>
      <c r="AC215" s="36"/>
      <c r="AD215" s="36"/>
      <c r="AE215" s="36"/>
      <c r="AF215" s="36"/>
      <c r="AG215" s="36"/>
      <c r="AH215" s="36"/>
      <c r="AI215" s="36"/>
      <c r="AJ215" s="36"/>
      <c r="AK215" s="36"/>
      <c r="AL215" s="36"/>
      <c r="AM215" s="36"/>
      <c r="AN215" s="36"/>
      <c r="AO215" s="36"/>
      <c r="AP215" s="37"/>
      <c r="AQ215" s="37"/>
      <c r="AR215" s="37"/>
      <c r="AS215" s="37"/>
      <c r="AT215" s="37"/>
      <c r="AU215" s="37"/>
      <c r="AV215" s="37"/>
      <c r="AW215" s="37"/>
      <c r="AX215" s="37"/>
      <c r="AY215" s="37"/>
      <c r="AZ215" s="37"/>
      <c r="BA215" s="37"/>
      <c r="BB215" s="37"/>
      <c r="BC215" s="37"/>
      <c r="BD215" s="37"/>
      <c r="BE215" s="37"/>
      <c r="BF215" s="37"/>
      <c r="BG215" s="37"/>
    </row>
    <row r="216" spans="2:59" s="31" customFormat="1" ht="31" x14ac:dyDescent="0.3">
      <c r="B216" s="170" t="s">
        <v>605</v>
      </c>
      <c r="C216" s="156"/>
      <c r="D216" s="84" t="s">
        <v>296</v>
      </c>
      <c r="E216" s="34"/>
      <c r="G216" s="34"/>
      <c r="H216" s="84"/>
      <c r="M216" s="84"/>
      <c r="N216" s="84"/>
      <c r="O216" s="100"/>
      <c r="Q216" s="133"/>
      <c r="R216" s="109" t="str">
        <f>IF(ISNUMBER(C216),IF(AND(ISNUMBER(C214),C212="Aggregaatti"),C214*IF(D214="vuosi",365*24,IF(D214="kuukausi",30*24,IF(D214="päivä",24,1)))*Kalusto!$E$23,C216*T216),"")</f>
        <v/>
      </c>
      <c r="S216" s="102" t="s">
        <v>172</v>
      </c>
      <c r="T216" s="195" t="str">
        <f>IF(ISNUMBER(C216),IF(C212="Ostosähkö", (K212+Muut!$H$12)/1000,IF(C212="Aurinkopaneelit",(Muut!$H$24+Muut!$H$25)/1000,IF(OR(C212="Bensiini",C212="Diesel"),(Muut!$H$15+Muut!$H$14+Muut!$H$17+Muut!$H$18)/2,"Aggregaatin kerroin"))),"")</f>
        <v/>
      </c>
      <c r="U216" s="36"/>
      <c r="V216" s="108"/>
      <c r="W216" s="108"/>
      <c r="X216" s="36"/>
      <c r="Y216" s="36"/>
      <c r="Z216" s="36"/>
      <c r="AA216" s="36"/>
      <c r="AB216" s="36"/>
      <c r="AC216" s="36"/>
      <c r="AD216" s="36"/>
      <c r="AE216" s="36"/>
      <c r="AF216" s="36"/>
      <c r="AG216" s="36"/>
      <c r="AH216" s="36"/>
      <c r="AI216" s="36"/>
      <c r="AJ216" s="36"/>
      <c r="AK216" s="36"/>
      <c r="AL216" s="36"/>
      <c r="AM216" s="36"/>
      <c r="AN216" s="36"/>
      <c r="AO216" s="36"/>
      <c r="AP216" s="37"/>
      <c r="AQ216" s="37"/>
      <c r="AR216" s="37"/>
      <c r="AS216" s="37"/>
      <c r="AT216" s="37"/>
      <c r="AU216" s="37"/>
      <c r="AV216" s="37"/>
      <c r="AW216" s="37"/>
      <c r="AX216" s="37"/>
      <c r="AY216" s="37"/>
      <c r="AZ216" s="37"/>
      <c r="BA216" s="37"/>
      <c r="BB216" s="37"/>
      <c r="BC216" s="37"/>
      <c r="BD216" s="37"/>
      <c r="BE216" s="37"/>
      <c r="BF216" s="37"/>
      <c r="BG216" s="37"/>
    </row>
    <row r="217" spans="2:59" s="31" customFormat="1" ht="15.5" x14ac:dyDescent="0.3">
      <c r="B217" s="54" t="s">
        <v>604</v>
      </c>
      <c r="C217" s="34"/>
      <c r="D217" s="84"/>
      <c r="G217" s="79"/>
      <c r="H217" s="84"/>
      <c r="M217" s="84"/>
      <c r="N217" s="84"/>
      <c r="O217" s="100"/>
      <c r="Q217" s="133"/>
      <c r="R217" s="36" t="s">
        <v>350</v>
      </c>
      <c r="S217" s="36"/>
      <c r="T217" s="36" t="s">
        <v>184</v>
      </c>
      <c r="U217" s="36"/>
      <c r="V217" s="108"/>
      <c r="W217" s="108"/>
      <c r="X217" s="36"/>
      <c r="Y217" s="36"/>
      <c r="Z217" s="36"/>
      <c r="AA217" s="36"/>
      <c r="AB217" s="36"/>
      <c r="AC217" s="36"/>
      <c r="AD217" s="36"/>
      <c r="AE217" s="36"/>
      <c r="AF217" s="36"/>
      <c r="AG217" s="36"/>
      <c r="AH217" s="36"/>
      <c r="AI217" s="36"/>
      <c r="AJ217" s="36"/>
      <c r="AK217" s="36"/>
      <c r="AL217" s="36"/>
      <c r="AM217" s="36"/>
      <c r="AN217" s="36"/>
      <c r="AO217" s="36"/>
      <c r="AP217" s="37"/>
      <c r="AQ217" s="37"/>
      <c r="AR217" s="37"/>
      <c r="AS217" s="37"/>
      <c r="AT217" s="37"/>
      <c r="AU217" s="37"/>
      <c r="AV217" s="37"/>
      <c r="AW217" s="37"/>
      <c r="AX217" s="37"/>
      <c r="AY217" s="37"/>
      <c r="AZ217" s="37"/>
      <c r="BA217" s="37"/>
      <c r="BB217" s="37"/>
      <c r="BC217" s="37"/>
      <c r="BD217" s="37"/>
      <c r="BE217" s="37"/>
      <c r="BF217" s="37"/>
      <c r="BG217" s="37"/>
    </row>
    <row r="218" spans="2:59" s="31" customFormat="1" ht="15.5" x14ac:dyDescent="0.3">
      <c r="B218" s="45" t="s">
        <v>603</v>
      </c>
      <c r="C218" s="160"/>
      <c r="D218" s="84" t="s">
        <v>211</v>
      </c>
      <c r="G218" s="79"/>
      <c r="H218" s="84"/>
      <c r="M218" s="84"/>
      <c r="N218" s="84"/>
      <c r="O218" s="100"/>
      <c r="Q218" s="133"/>
      <c r="R218" s="109" t="str">
        <f>IF(ISNUMBER(C218),IF(AND(ISNUMBER(C214),C212="Aggregaatti"),C216*IF(D214="vuosi",365*24,IF(D214="kuukausi",30*24,IF(D214="päivä",24,1)))*Kalusto!$E$23,IF(D214="vuosi",365*24,IF(D214="kuukausi",30*24,IF(D214="päivä",24,1)))*C218*T218/K213),"")</f>
        <v/>
      </c>
      <c r="S218" s="102" t="s">
        <v>172</v>
      </c>
      <c r="T218" s="195" t="str">
        <f>IF(ISNUMBER(C218),IF(C212="Ostosähkö", (K212+Muut!$H$12)/1000/K213,IF(C212="Aurinkopaneelit",(Muut!$H$24+Muut!$H$25)/1000,IF(OR(C212="Bensiini",C212="Diesel"),(Muut!$H$15+Muut!$H$14+Muut!$H$17+Muut!$H$18)/2/K213,"Aggregaatin kerroin"))),"")</f>
        <v/>
      </c>
      <c r="U218" s="36"/>
      <c r="V218" s="108"/>
      <c r="W218" s="108"/>
      <c r="X218" s="36"/>
      <c r="Y218" s="36"/>
      <c r="Z218" s="36"/>
      <c r="AA218" s="36"/>
      <c r="AB218" s="36"/>
      <c r="AC218" s="36"/>
      <c r="AD218" s="36"/>
      <c r="AE218" s="36"/>
      <c r="AF218" s="36"/>
      <c r="AG218" s="36"/>
      <c r="AH218" s="36"/>
      <c r="AI218" s="36"/>
      <c r="AJ218" s="36"/>
      <c r="AK218" s="36"/>
      <c r="AL218" s="36"/>
      <c r="AM218" s="36"/>
      <c r="AN218" s="36"/>
      <c r="AO218" s="36"/>
      <c r="AP218" s="37"/>
      <c r="AQ218" s="37"/>
      <c r="AR218" s="37"/>
      <c r="AS218" s="37"/>
      <c r="AT218" s="37"/>
      <c r="AU218" s="37"/>
      <c r="AV218" s="37"/>
      <c r="AW218" s="37"/>
      <c r="AX218" s="37"/>
      <c r="AY218" s="37"/>
      <c r="AZ218" s="37"/>
      <c r="BA218" s="37"/>
      <c r="BB218" s="37"/>
      <c r="BC218" s="37"/>
      <c r="BD218" s="37"/>
      <c r="BE218" s="37"/>
      <c r="BF218" s="37"/>
      <c r="BG218" s="37"/>
    </row>
    <row r="219" spans="2:59" s="31" customFormat="1" ht="15.5" x14ac:dyDescent="0.3">
      <c r="D219" s="84"/>
      <c r="H219" s="84"/>
      <c r="M219" s="84"/>
      <c r="N219" s="84"/>
      <c r="O219" s="84"/>
      <c r="Q219" s="133"/>
      <c r="R219" s="98"/>
      <c r="S219" s="108"/>
      <c r="T219" s="37"/>
      <c r="U219" s="36"/>
      <c r="V219" s="36"/>
      <c r="W219" s="36"/>
      <c r="X219" s="36"/>
      <c r="Y219" s="36"/>
      <c r="Z219" s="36"/>
      <c r="AA219" s="36"/>
      <c r="AB219" s="36"/>
      <c r="AC219" s="36"/>
      <c r="AD219" s="36"/>
      <c r="AE219" s="36"/>
      <c r="AF219" s="36"/>
      <c r="AG219" s="36"/>
      <c r="AH219" s="36"/>
      <c r="AI219" s="36"/>
      <c r="AJ219" s="36"/>
      <c r="AK219" s="36"/>
      <c r="AL219" s="36"/>
      <c r="AM219" s="36"/>
      <c r="AN219" s="36"/>
      <c r="AO219" s="36"/>
      <c r="AP219" s="37"/>
      <c r="AQ219" s="37"/>
      <c r="AR219" s="37"/>
      <c r="AS219" s="37"/>
      <c r="AT219" s="37"/>
      <c r="AU219" s="37"/>
      <c r="AV219" s="37"/>
      <c r="AW219" s="37"/>
      <c r="AX219" s="37"/>
      <c r="AY219" s="37"/>
      <c r="AZ219" s="37"/>
      <c r="BA219" s="37"/>
      <c r="BB219" s="37"/>
      <c r="BC219" s="37"/>
      <c r="BD219" s="37"/>
      <c r="BE219" s="37"/>
      <c r="BF219" s="37"/>
      <c r="BG219" s="37"/>
    </row>
    <row r="220" spans="2:59" s="298" customFormat="1" ht="18" x14ac:dyDescent="0.3">
      <c r="B220" s="295" t="s">
        <v>320</v>
      </c>
      <c r="C220" s="296"/>
      <c r="D220" s="297"/>
      <c r="G220" s="296"/>
      <c r="H220" s="297"/>
      <c r="K220" s="296"/>
      <c r="L220" s="296"/>
      <c r="M220" s="297"/>
      <c r="N220" s="297"/>
      <c r="O220" s="300"/>
      <c r="P220" s="320"/>
      <c r="Q220" s="304"/>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AN220" s="304"/>
      <c r="AO220" s="304"/>
      <c r="AP220" s="304"/>
      <c r="AQ220" s="304"/>
      <c r="AR220" s="304"/>
      <c r="AS220" s="304"/>
      <c r="AT220" s="304"/>
      <c r="AU220" s="304"/>
      <c r="AV220" s="304"/>
      <c r="AW220" s="304"/>
      <c r="AX220" s="304"/>
      <c r="AY220" s="304"/>
      <c r="AZ220" s="304"/>
      <c r="BA220" s="304"/>
      <c r="BB220" s="304"/>
      <c r="BC220" s="304"/>
      <c r="BD220" s="304"/>
      <c r="BE220" s="304"/>
    </row>
    <row r="221" spans="2:59" s="31" customFormat="1" ht="15.5" x14ac:dyDescent="0.3">
      <c r="B221" s="9"/>
      <c r="C221" s="34"/>
      <c r="D221" s="84"/>
      <c r="G221" s="34"/>
      <c r="H221" s="84"/>
      <c r="J221" s="33"/>
      <c r="K221" s="38" t="s">
        <v>329</v>
      </c>
      <c r="L221" s="38" t="s">
        <v>201</v>
      </c>
      <c r="M221" s="84"/>
      <c r="N221" s="84"/>
      <c r="O221" s="255" t="s">
        <v>644</v>
      </c>
      <c r="Q221" s="133"/>
      <c r="R221" s="36" t="s">
        <v>350</v>
      </c>
      <c r="S221" s="36"/>
      <c r="T221" s="37"/>
      <c r="U221" s="36"/>
      <c r="V221" s="36"/>
      <c r="W221" s="36"/>
      <c r="X221" s="36"/>
      <c r="Y221" s="36"/>
      <c r="Z221" s="36"/>
      <c r="AA221" s="36"/>
      <c r="AB221" s="36"/>
      <c r="AC221" s="36"/>
      <c r="AD221" s="36"/>
      <c r="AE221" s="36"/>
      <c r="AF221" s="36"/>
      <c r="AG221" s="36"/>
      <c r="AH221" s="36"/>
      <c r="AI221" s="36"/>
      <c r="AJ221" s="36"/>
      <c r="AK221" s="36"/>
      <c r="AL221" s="36"/>
      <c r="AM221" s="36"/>
      <c r="AN221" s="36"/>
      <c r="AO221" s="36"/>
      <c r="AP221" s="37"/>
      <c r="AQ221" s="37"/>
      <c r="AR221" s="37"/>
      <c r="AS221" s="37"/>
      <c r="AT221" s="37"/>
      <c r="AU221" s="37"/>
      <c r="AV221" s="37"/>
      <c r="AW221" s="37"/>
      <c r="AX221" s="37"/>
      <c r="AY221" s="37"/>
      <c r="AZ221" s="37"/>
      <c r="BA221" s="37"/>
      <c r="BB221" s="37"/>
      <c r="BC221" s="37"/>
      <c r="BD221" s="37"/>
      <c r="BE221" s="37"/>
      <c r="BF221" s="37"/>
      <c r="BG221" s="37"/>
    </row>
    <row r="222" spans="2:59" s="31" customFormat="1" ht="31" x14ac:dyDescent="0.3">
      <c r="B222" s="78" t="s">
        <v>601</v>
      </c>
      <c r="C222" s="392" t="s">
        <v>314</v>
      </c>
      <c r="D222" s="394"/>
      <c r="E222" s="34"/>
      <c r="G222" s="34"/>
      <c r="H222" s="84"/>
      <c r="J222" s="33" t="s">
        <v>534</v>
      </c>
      <c r="K222" s="138">
        <f>IF(ISNUMBER(L222),L222,Muut!$H$10)</f>
        <v>60</v>
      </c>
      <c r="L222" s="73"/>
      <c r="M222" s="86" t="s">
        <v>535</v>
      </c>
      <c r="N222" s="86"/>
      <c r="O222" s="256"/>
      <c r="Q222" s="133"/>
      <c r="R222" s="109" t="str">
        <f>IF(ISNUMBER(R226),R226,IF(ISNUMBER(R228),R228,""))</f>
        <v/>
      </c>
      <c r="S222" s="102" t="s">
        <v>172</v>
      </c>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7"/>
      <c r="AQ222" s="37"/>
      <c r="AR222" s="37"/>
      <c r="AS222" s="37"/>
      <c r="AT222" s="37"/>
      <c r="AU222" s="37"/>
      <c r="AV222" s="37"/>
      <c r="AW222" s="37"/>
      <c r="AX222" s="37"/>
      <c r="AY222" s="37"/>
      <c r="AZ222" s="37"/>
      <c r="BA222" s="37"/>
      <c r="BB222" s="37"/>
      <c r="BC222" s="37"/>
      <c r="BD222" s="37"/>
      <c r="BE222" s="37"/>
      <c r="BF222" s="37"/>
      <c r="BG222" s="37"/>
    </row>
    <row r="223" spans="2:59" s="31" customFormat="1" ht="15.5" x14ac:dyDescent="0.3">
      <c r="B223" s="170" t="s">
        <v>536</v>
      </c>
      <c r="C223" s="160"/>
      <c r="D223" s="84" t="s">
        <v>8</v>
      </c>
      <c r="E223" s="34"/>
      <c r="G223" s="34"/>
      <c r="H223" s="84"/>
      <c r="J223" s="33" t="s">
        <v>537</v>
      </c>
      <c r="K223" s="96">
        <f>IF(ISNUMBER(L223),L223,IF(OR(C222="Bensiini",C222="Diesel"),Muut!$H$34,Muut!$H$35))</f>
        <v>0.95</v>
      </c>
      <c r="L223" s="175" t="str">
        <f>IF(ISNUMBER(C223),C223,"--")</f>
        <v>--</v>
      </c>
      <c r="M223" s="86"/>
      <c r="N223" s="86"/>
      <c r="O223" s="266"/>
      <c r="Q223" s="35"/>
      <c r="R223" s="61"/>
      <c r="S223" s="102"/>
      <c r="T223" s="36"/>
      <c r="U223" s="36"/>
      <c r="V223" s="36"/>
      <c r="W223" s="36"/>
      <c r="X223" s="36"/>
      <c r="Y223" s="36"/>
      <c r="Z223" s="36"/>
      <c r="AA223" s="36"/>
      <c r="AB223" s="36"/>
      <c r="AC223" s="36"/>
      <c r="AD223" s="36"/>
      <c r="AE223" s="36"/>
      <c r="AF223" s="36"/>
      <c r="AG223" s="36"/>
      <c r="AH223" s="36"/>
      <c r="AI223" s="36"/>
      <c r="AJ223" s="36"/>
      <c r="AK223" s="36"/>
      <c r="AL223" s="36"/>
      <c r="AM223" s="36"/>
      <c r="AN223" s="37"/>
      <c r="AO223" s="37"/>
      <c r="AP223" s="37"/>
      <c r="AQ223" s="37"/>
      <c r="AR223" s="37"/>
      <c r="AS223" s="37"/>
      <c r="AT223" s="37"/>
      <c r="AU223" s="37"/>
      <c r="AV223" s="37"/>
      <c r="AW223" s="37"/>
      <c r="AX223" s="37"/>
      <c r="AY223" s="37"/>
      <c r="AZ223" s="37"/>
      <c r="BA223" s="37"/>
      <c r="BB223" s="37"/>
      <c r="BC223" s="37"/>
      <c r="BD223" s="37"/>
      <c r="BE223" s="37"/>
    </row>
    <row r="224" spans="2:59" s="31" customFormat="1" ht="15.5" x14ac:dyDescent="0.3">
      <c r="B224" s="54" t="s">
        <v>315</v>
      </c>
      <c r="C224" s="160"/>
      <c r="D224" s="94" t="s">
        <v>301</v>
      </c>
      <c r="E224" s="79"/>
      <c r="G224" s="79"/>
      <c r="H224" s="84"/>
      <c r="M224" s="84"/>
      <c r="N224" s="84"/>
      <c r="O224" s="100"/>
      <c r="Q224" s="133"/>
      <c r="R224" s="99"/>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7"/>
      <c r="AQ224" s="37"/>
      <c r="AR224" s="37"/>
      <c r="AS224" s="37"/>
      <c r="AT224" s="37"/>
      <c r="AU224" s="37"/>
      <c r="AV224" s="37"/>
      <c r="AW224" s="37"/>
      <c r="AX224" s="37"/>
      <c r="AY224" s="37"/>
      <c r="AZ224" s="37"/>
      <c r="BA224" s="37"/>
      <c r="BB224" s="37"/>
      <c r="BC224" s="37"/>
      <c r="BD224" s="37"/>
      <c r="BE224" s="37"/>
      <c r="BF224" s="37"/>
      <c r="BG224" s="37"/>
    </row>
    <row r="225" spans="2:59" s="31" customFormat="1" ht="15.5" x14ac:dyDescent="0.3">
      <c r="B225" s="54" t="s">
        <v>600</v>
      </c>
      <c r="C225" s="34"/>
      <c r="D225" s="84"/>
      <c r="G225" s="34"/>
      <c r="H225" s="84"/>
      <c r="J225" s="33"/>
      <c r="K225" s="38"/>
      <c r="L225" s="38"/>
      <c r="M225" s="84"/>
      <c r="N225" s="84"/>
      <c r="O225" s="100"/>
      <c r="Q225" s="133"/>
      <c r="R225" s="36" t="s">
        <v>350</v>
      </c>
      <c r="S225" s="36"/>
      <c r="T225" s="36" t="s">
        <v>184</v>
      </c>
      <c r="U225" s="36"/>
      <c r="V225" s="36"/>
      <c r="W225" s="36"/>
      <c r="X225" s="36"/>
      <c r="Y225" s="36"/>
      <c r="Z225" s="36"/>
      <c r="AA225" s="36"/>
      <c r="AB225" s="36"/>
      <c r="AC225" s="36"/>
      <c r="AD225" s="36"/>
      <c r="AE225" s="36"/>
      <c r="AF225" s="36"/>
      <c r="AG225" s="36"/>
      <c r="AH225" s="36"/>
      <c r="AI225" s="36"/>
      <c r="AJ225" s="36"/>
      <c r="AK225" s="36"/>
      <c r="AL225" s="36"/>
      <c r="AM225" s="36"/>
      <c r="AN225" s="36"/>
      <c r="AO225" s="36"/>
      <c r="AP225" s="37"/>
      <c r="AQ225" s="37"/>
      <c r="AR225" s="37"/>
      <c r="AS225" s="37"/>
      <c r="AT225" s="37"/>
      <c r="AU225" s="37"/>
      <c r="AV225" s="37"/>
      <c r="AW225" s="37"/>
      <c r="AX225" s="37"/>
      <c r="AY225" s="37"/>
      <c r="AZ225" s="37"/>
      <c r="BA225" s="37"/>
      <c r="BB225" s="37"/>
      <c r="BC225" s="37"/>
      <c r="BD225" s="37"/>
      <c r="BE225" s="37"/>
      <c r="BF225" s="37"/>
      <c r="BG225" s="37"/>
    </row>
    <row r="226" spans="2:59" s="31" customFormat="1" ht="31" x14ac:dyDescent="0.3">
      <c r="B226" s="170" t="s">
        <v>605</v>
      </c>
      <c r="C226" s="156"/>
      <c r="D226" s="84" t="s">
        <v>296</v>
      </c>
      <c r="E226" s="34"/>
      <c r="G226" s="34"/>
      <c r="H226" s="84"/>
      <c r="M226" s="84"/>
      <c r="N226" s="84"/>
      <c r="O226" s="100"/>
      <c r="Q226" s="133"/>
      <c r="R226" s="109" t="str">
        <f>IF(ISNUMBER(C226),IF(AND(ISNUMBER(C224),C222="Aggregaatti"),C224*IF(D224="vuosi",365*24,IF(D224="kuukausi",30*24,IF(D224="päivä",24,1)))*Kalusto!$E$23,C226*T226),"")</f>
        <v/>
      </c>
      <c r="S226" s="102" t="s">
        <v>172</v>
      </c>
      <c r="T226" s="195" t="str">
        <f>IF(ISNUMBER(C226),IF(C222="Ostosähkö", (K222+Muut!$H$12)/1000,IF(C222="Aurinkopaneelit",(Muut!$H$24+Muut!$H$25)/1000,IF(OR(C222="Bensiini",C222="Diesel"),(Muut!$H$15+Muut!$H$14+Muut!$H$17+Muut!$H$18)/2,"Aggregaatin kerroin"))),"")</f>
        <v/>
      </c>
      <c r="U226" s="36"/>
      <c r="V226" s="36"/>
      <c r="W226" s="36"/>
      <c r="X226" s="36"/>
      <c r="Y226" s="36"/>
      <c r="Z226" s="36"/>
      <c r="AA226" s="36"/>
      <c r="AB226" s="36"/>
      <c r="AC226" s="36"/>
      <c r="AD226" s="36"/>
      <c r="AE226" s="36"/>
      <c r="AF226" s="36"/>
      <c r="AG226" s="36"/>
      <c r="AH226" s="36"/>
      <c r="AI226" s="36"/>
      <c r="AJ226" s="36"/>
      <c r="AK226" s="36"/>
      <c r="AL226" s="36"/>
      <c r="AM226" s="36"/>
      <c r="AN226" s="36"/>
      <c r="AO226" s="36"/>
      <c r="AP226" s="37"/>
      <c r="AQ226" s="37"/>
      <c r="AR226" s="37"/>
      <c r="AS226" s="37"/>
      <c r="AT226" s="37"/>
      <c r="AU226" s="37"/>
      <c r="AV226" s="37"/>
      <c r="AW226" s="37"/>
      <c r="AX226" s="37"/>
      <c r="AY226" s="37"/>
      <c r="AZ226" s="37"/>
      <c r="BA226" s="37"/>
      <c r="BB226" s="37"/>
      <c r="BC226" s="37"/>
      <c r="BD226" s="37"/>
      <c r="BE226" s="37"/>
      <c r="BF226" s="37"/>
      <c r="BG226" s="37"/>
    </row>
    <row r="227" spans="2:59" s="31" customFormat="1" ht="15.5" x14ac:dyDescent="0.3">
      <c r="B227" s="54" t="s">
        <v>604</v>
      </c>
      <c r="C227" s="34"/>
      <c r="D227" s="84"/>
      <c r="G227" s="79"/>
      <c r="H227" s="84"/>
      <c r="M227" s="84"/>
      <c r="N227" s="84"/>
      <c r="O227" s="100"/>
      <c r="Q227" s="133"/>
      <c r="R227" s="36" t="s">
        <v>350</v>
      </c>
      <c r="S227" s="36"/>
      <c r="T227" s="36" t="s">
        <v>184</v>
      </c>
      <c r="U227" s="36"/>
      <c r="V227" s="36"/>
      <c r="W227" s="36"/>
      <c r="X227" s="36"/>
      <c r="Y227" s="36"/>
      <c r="Z227" s="36"/>
      <c r="AA227" s="36"/>
      <c r="AB227" s="36"/>
      <c r="AC227" s="36"/>
      <c r="AD227" s="36"/>
      <c r="AE227" s="36"/>
      <c r="AF227" s="36"/>
      <c r="AG227" s="36"/>
      <c r="AH227" s="36"/>
      <c r="AI227" s="36"/>
      <c r="AJ227" s="36"/>
      <c r="AK227" s="36"/>
      <c r="AL227" s="36"/>
      <c r="AM227" s="36"/>
      <c r="AN227" s="36"/>
      <c r="AO227" s="36"/>
      <c r="AP227" s="37"/>
      <c r="AQ227" s="37"/>
      <c r="AR227" s="37"/>
      <c r="AS227" s="37"/>
      <c r="AT227" s="37"/>
      <c r="AU227" s="37"/>
      <c r="AV227" s="37"/>
      <c r="AW227" s="37"/>
      <c r="AX227" s="37"/>
      <c r="AY227" s="37"/>
      <c r="AZ227" s="37"/>
      <c r="BA227" s="37"/>
      <c r="BB227" s="37"/>
      <c r="BC227" s="37"/>
      <c r="BD227" s="37"/>
      <c r="BE227" s="37"/>
      <c r="BF227" s="37"/>
      <c r="BG227" s="37"/>
    </row>
    <row r="228" spans="2:59" s="31" customFormat="1" ht="15.5" x14ac:dyDescent="0.3">
      <c r="B228" s="45" t="s">
        <v>603</v>
      </c>
      <c r="C228" s="160"/>
      <c r="D228" s="84" t="s">
        <v>211</v>
      </c>
      <c r="G228" s="79"/>
      <c r="H228" s="84"/>
      <c r="M228" s="84"/>
      <c r="N228" s="84"/>
      <c r="O228" s="100"/>
      <c r="Q228" s="133"/>
      <c r="R228" s="109" t="str">
        <f>IF(ISNUMBER(C228),IF(AND(ISNUMBER(C224),C222="Aggregaatti"),C226*IF(D224="vuosi",365*24,IF(D224="kuukausi",30*24,IF(D224="päivä",24,1)))*Kalusto!$E$23,IF(D224="vuosi",365*24,IF(D224="kuukausi",30*24,IF(D224="päivä",24,1)))*C228*T228/K223),"")</f>
        <v/>
      </c>
      <c r="S228" s="102" t="s">
        <v>172</v>
      </c>
      <c r="T228" s="195" t="str">
        <f>IF(ISNUMBER(C228),IF(C222="Ostosähkö", (K222+Muut!$H$12)/1000/K223,IF(C222="Aurinkopaneelit",(Muut!$H$24+Muut!$H$25)/1000,IF(OR(C222="Bensiini",C222="Diesel"),(Muut!$H$15+Muut!$H$14+Muut!$H$17+Muut!$H$18)/2/K223,"Aggregaatin kerroin"))),"")</f>
        <v/>
      </c>
      <c r="U228" s="36"/>
      <c r="V228" s="36"/>
      <c r="W228" s="36"/>
      <c r="X228" s="36"/>
      <c r="Y228" s="36"/>
      <c r="Z228" s="36"/>
      <c r="AA228" s="36"/>
      <c r="AB228" s="36"/>
      <c r="AC228" s="36"/>
      <c r="AD228" s="36"/>
      <c r="AE228" s="36"/>
      <c r="AF228" s="36"/>
      <c r="AG228" s="36"/>
      <c r="AH228" s="36"/>
      <c r="AI228" s="36"/>
      <c r="AJ228" s="36"/>
      <c r="AK228" s="36"/>
      <c r="AL228" s="36"/>
      <c r="AM228" s="36"/>
      <c r="AN228" s="36"/>
      <c r="AO228" s="36"/>
      <c r="AP228" s="37"/>
      <c r="AQ228" s="37"/>
      <c r="AR228" s="37"/>
      <c r="AS228" s="37"/>
      <c r="AT228" s="37"/>
      <c r="AU228" s="37"/>
      <c r="AV228" s="37"/>
      <c r="AW228" s="37"/>
      <c r="AX228" s="37"/>
      <c r="AY228" s="37"/>
      <c r="AZ228" s="37"/>
      <c r="BA228" s="37"/>
      <c r="BB228" s="37"/>
      <c r="BC228" s="37"/>
      <c r="BD228" s="37"/>
      <c r="BE228" s="37"/>
      <c r="BF228" s="37"/>
      <c r="BG228" s="37"/>
    </row>
    <row r="229" spans="2:59" s="31" customFormat="1" ht="15.5" x14ac:dyDescent="0.3">
      <c r="B229" s="54"/>
      <c r="C229" s="34"/>
      <c r="D229" s="34"/>
      <c r="E229" s="59"/>
      <c r="G229" s="34"/>
      <c r="H229" s="84"/>
      <c r="J229" s="33"/>
      <c r="K229" s="34"/>
      <c r="L229" s="34"/>
      <c r="M229" s="84"/>
      <c r="N229" s="84"/>
      <c r="O229" s="84"/>
      <c r="Q229" s="37"/>
      <c r="R229" s="99"/>
      <c r="S229" s="36"/>
      <c r="T229" s="36"/>
      <c r="U229" s="36"/>
      <c r="V229" s="36"/>
      <c r="W229" s="36"/>
      <c r="X229" s="36"/>
      <c r="Y229" s="36"/>
      <c r="Z229" s="36"/>
      <c r="AA229" s="36"/>
      <c r="AB229" s="36"/>
      <c r="AC229" s="36"/>
      <c r="AD229" s="36"/>
      <c r="AE229" s="36"/>
      <c r="AF229" s="36"/>
      <c r="AG229" s="36"/>
      <c r="AH229" s="36"/>
      <c r="AI229" s="36"/>
      <c r="AJ229" s="36"/>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9" s="298" customFormat="1" ht="18" x14ac:dyDescent="0.3">
      <c r="B230" s="295" t="s">
        <v>42</v>
      </c>
      <c r="C230" s="296"/>
      <c r="D230" s="297"/>
      <c r="G230" s="296"/>
      <c r="H230" s="297"/>
      <c r="K230" s="296"/>
      <c r="L230" s="296"/>
      <c r="M230" s="297"/>
      <c r="N230" s="297"/>
      <c r="O230" s="300"/>
      <c r="P230" s="320"/>
      <c r="Q230" s="304"/>
      <c r="R230" s="298" t="str">
        <f>IF(OR(ISNUMBER(#REF!),ISNUMBER(#REF!),ISNUMBER(#REF!)),SUM(#REF!,#REF!,#REF!),"")</f>
        <v/>
      </c>
      <c r="S230" s="303"/>
      <c r="T230" s="303"/>
      <c r="U230" s="303"/>
      <c r="V230" s="303"/>
      <c r="W230" s="303"/>
      <c r="X230" s="303"/>
      <c r="Y230" s="303"/>
      <c r="Z230" s="303"/>
      <c r="AA230" s="303"/>
      <c r="AB230" s="303"/>
      <c r="AC230" s="303"/>
      <c r="AD230" s="303"/>
      <c r="AE230" s="303"/>
      <c r="AF230" s="303"/>
      <c r="AG230" s="303"/>
      <c r="AH230" s="303"/>
      <c r="AI230" s="303"/>
      <c r="AJ230" s="303"/>
      <c r="AK230" s="303"/>
      <c r="AL230" s="303"/>
      <c r="AM230" s="303"/>
      <c r="AN230" s="304"/>
      <c r="AO230" s="304"/>
      <c r="AP230" s="304"/>
      <c r="AQ230" s="304"/>
      <c r="AR230" s="304"/>
      <c r="AS230" s="304"/>
      <c r="AT230" s="304"/>
      <c r="AU230" s="304"/>
      <c r="AV230" s="304"/>
      <c r="AW230" s="304"/>
      <c r="AX230" s="304"/>
      <c r="AY230" s="304"/>
      <c r="AZ230" s="304"/>
      <c r="BA230" s="304"/>
      <c r="BB230" s="304"/>
      <c r="BC230" s="304"/>
      <c r="BD230" s="304"/>
      <c r="BE230" s="304"/>
    </row>
    <row r="231" spans="2:59" s="31" customFormat="1" ht="15.5" x14ac:dyDescent="0.3">
      <c r="B231" s="9"/>
      <c r="C231" s="34"/>
      <c r="D231" s="84"/>
      <c r="G231" s="34" t="s">
        <v>43</v>
      </c>
      <c r="H231" s="84"/>
      <c r="K231" s="38" t="s">
        <v>329</v>
      </c>
      <c r="L231" s="38" t="s">
        <v>201</v>
      </c>
      <c r="M231" s="84"/>
      <c r="N231" s="84"/>
      <c r="O231" s="255" t="s">
        <v>644</v>
      </c>
      <c r="Q231" s="35"/>
      <c r="R231" s="36" t="s">
        <v>350</v>
      </c>
      <c r="S231" s="36"/>
      <c r="T231" s="36" t="s">
        <v>267</v>
      </c>
      <c r="U231" s="36" t="s">
        <v>268</v>
      </c>
      <c r="V231" s="36" t="s">
        <v>269</v>
      </c>
      <c r="W231" s="36" t="s">
        <v>272</v>
      </c>
      <c r="X231" s="36" t="s">
        <v>270</v>
      </c>
      <c r="Y231" s="36" t="s">
        <v>271</v>
      </c>
      <c r="Z231" s="36" t="s">
        <v>273</v>
      </c>
      <c r="AA231" s="108"/>
      <c r="AB231" s="36"/>
      <c r="AC231" s="36"/>
      <c r="AD231" s="36"/>
      <c r="AE231" s="36"/>
      <c r="AF231" s="36"/>
      <c r="AG231" s="36"/>
      <c r="AH231" s="36"/>
      <c r="AI231" s="36"/>
      <c r="AJ231" s="36"/>
      <c r="AK231" s="36"/>
      <c r="AL231" s="36"/>
      <c r="AM231" s="36"/>
      <c r="AN231" s="37"/>
      <c r="AO231" s="37"/>
      <c r="AP231" s="37"/>
      <c r="AQ231" s="37"/>
      <c r="AR231" s="37"/>
      <c r="AS231" s="37"/>
      <c r="AT231" s="37"/>
      <c r="AU231" s="37"/>
      <c r="AV231" s="37"/>
      <c r="AW231" s="37"/>
      <c r="AX231" s="37"/>
      <c r="AY231" s="37"/>
      <c r="AZ231" s="37"/>
      <c r="BA231" s="37"/>
      <c r="BB231" s="37"/>
      <c r="BC231" s="37"/>
      <c r="BD231" s="37"/>
      <c r="BE231" s="37"/>
    </row>
    <row r="232" spans="2:59" s="31" customFormat="1" ht="15.5" x14ac:dyDescent="0.3">
      <c r="B232" s="54" t="s">
        <v>582</v>
      </c>
      <c r="C232" s="160"/>
      <c r="D232" s="84" t="s">
        <v>234</v>
      </c>
      <c r="G232" s="160"/>
      <c r="H232" s="84" t="s">
        <v>44</v>
      </c>
      <c r="J232" s="33" t="s">
        <v>566</v>
      </c>
      <c r="K232" s="112">
        <f>IF(ISNUMBER(L232),L232,IF(C236=Pudotusvalikot!$J$4,Kalusto!$E$98,IF(C236=Pudotusvalikot!$J$5,Kalusto!$E$99,IF(C236=Pudotusvalikot!$J$6,Kalusto!$E$100,IF(C236=Pudotusvalikot!$J$7,Kalusto!$E$101,IF(C236=Pudotusvalikot!$J$8,Kalusto!$E$102,IF(C236=Pudotusvalikot!$J$9,Kalusto!$E$103,IF(C236=Pudotusvalikot!$J$11,Kalusto!$E$104,Kalusto!$E$98))))))))</f>
        <v>5.5</v>
      </c>
      <c r="L232" s="63"/>
      <c r="M232" s="77" t="str">
        <f>IF(C236=Pudotusvalikot!$J$9,"kWh/100 km",IF(C236=Pudotusvalikot!$J$6,"kg/100 km","l/100 km"))</f>
        <v>l/100 km</v>
      </c>
      <c r="N232" s="77"/>
      <c r="O232" s="256"/>
      <c r="Q232" s="35"/>
      <c r="R232" s="109">
        <f>SUM(U232:Z232)</f>
        <v>0</v>
      </c>
      <c r="S232" s="102" t="s">
        <v>172</v>
      </c>
      <c r="T232" s="48">
        <f>IF(ISNUMBER(C233*C232*G232),C233*C232*G232,"")</f>
        <v>0</v>
      </c>
      <c r="U232" s="50">
        <f>IF(ISNUMBER(T232),IF(C236=Pudotusvalikot!$J$5,(Muut!$H$15+Muut!$H$18)*(T232*K232/100),0),"")</f>
        <v>0</v>
      </c>
      <c r="V232" s="50">
        <f>IF(ISNUMBER(T232),IF(C236=Pudotusvalikot!$J$4,(Muut!$H$14+Muut!$H$17)*(T232*K232/100),0),"")</f>
        <v>0</v>
      </c>
      <c r="W232" s="50">
        <f>IF(ISNUMBER(T232),IF(C236=Pudotusvalikot!$J$6,(Muut!$H$16+Muut!$H$19)*(T232*K232/100),0),"")</f>
        <v>0</v>
      </c>
      <c r="X232" s="50">
        <f>IF(ISNUMBER(T232),IF(C236=Pudotusvalikot!$J$7,((Muut!$H$15+Muut!$H$18)*(100%-Kalusto!$O$101)+(Muut!$H$14+Muut!$H$17)*Kalusto!$O$101)*(T232*K232/100),0),"")</f>
        <v>0</v>
      </c>
      <c r="Y232" s="74">
        <f>IF(ISNUMBER(T232),IF(C236=Pudotusvalikot!$J$8,((Kalusto!$K$102)*(100%-Kalusto!$O$102)+(Kalusto!$M$102)*Kalusto!$O$102)*(Muut!$H$13+Muut!$H$12)/100*T232/1000+((Kalusto!$G$102)*(100%-Kalusto!$O$102)+(Kalusto!$I$102)*Kalusto!$O$102)*(K232+Muut!$H$18)/100*T232,0),"")</f>
        <v>0</v>
      </c>
      <c r="Z232" s="74">
        <f>IF(ISNUMBER(T232),IF(C236=Pudotusvalikot!$J$9,Kalusto!$E$103*(K232+Muut!$H$12)/100*T232/1000,0),"")</f>
        <v>0</v>
      </c>
      <c r="AA232" s="108"/>
      <c r="AB232" s="36"/>
      <c r="AC232" s="36"/>
      <c r="AD232" s="36"/>
      <c r="AE232" s="36"/>
      <c r="AF232" s="36"/>
      <c r="AG232" s="36"/>
      <c r="AH232" s="36"/>
      <c r="AI232" s="36"/>
      <c r="AJ232" s="36"/>
      <c r="AK232" s="36"/>
      <c r="AL232" s="36"/>
      <c r="AM232" s="36"/>
      <c r="AN232" s="37"/>
      <c r="AO232" s="37"/>
      <c r="AP232" s="37"/>
      <c r="AQ232" s="37"/>
      <c r="AR232" s="37"/>
      <c r="AS232" s="37"/>
      <c r="AT232" s="37"/>
      <c r="AU232" s="37"/>
      <c r="AV232" s="37"/>
      <c r="AW232" s="37"/>
      <c r="AX232" s="37"/>
      <c r="AY232" s="37"/>
      <c r="AZ232" s="37"/>
      <c r="BA232" s="37"/>
      <c r="BB232" s="37"/>
      <c r="BC232" s="37"/>
      <c r="BD232" s="37"/>
      <c r="BE232" s="37"/>
    </row>
    <row r="233" spans="2:59" s="31" customFormat="1" ht="15.5" x14ac:dyDescent="0.3">
      <c r="B233" s="45" t="s">
        <v>581</v>
      </c>
      <c r="C233" s="160"/>
      <c r="D233" s="84" t="s">
        <v>5</v>
      </c>
      <c r="G233" s="34"/>
      <c r="H233" s="84"/>
      <c r="K233" s="134"/>
      <c r="L233" s="38"/>
      <c r="M233" s="84"/>
      <c r="N233" s="84"/>
      <c r="O233" s="100"/>
      <c r="Q233" s="35"/>
      <c r="R233" s="36" t="s">
        <v>350</v>
      </c>
      <c r="S233" s="36"/>
      <c r="T233" s="36" t="s">
        <v>267</v>
      </c>
      <c r="U233" s="36" t="s">
        <v>268</v>
      </c>
      <c r="V233" s="36" t="s">
        <v>269</v>
      </c>
      <c r="W233" s="36" t="s">
        <v>272</v>
      </c>
      <c r="X233" s="36" t="s">
        <v>270</v>
      </c>
      <c r="Y233" s="36" t="s">
        <v>271</v>
      </c>
      <c r="Z233" s="36" t="s">
        <v>273</v>
      </c>
      <c r="AA233" s="108"/>
      <c r="AB233" s="36"/>
      <c r="AC233" s="36"/>
      <c r="AD233" s="36"/>
      <c r="AE233" s="36"/>
      <c r="AF233" s="36"/>
      <c r="AG233" s="36"/>
      <c r="AH233" s="36"/>
      <c r="AI233" s="36"/>
      <c r="AJ233" s="36"/>
      <c r="AK233" s="36"/>
      <c r="AL233" s="36"/>
      <c r="AM233" s="36"/>
      <c r="AN233" s="37"/>
      <c r="AO233" s="37"/>
      <c r="AP233" s="37"/>
      <c r="AQ233" s="37"/>
      <c r="AR233" s="37"/>
      <c r="AS233" s="37"/>
      <c r="AT233" s="37"/>
      <c r="AU233" s="37"/>
      <c r="AV233" s="37"/>
      <c r="AW233" s="37"/>
      <c r="AX233" s="37"/>
      <c r="AY233" s="37"/>
      <c r="AZ233" s="37"/>
      <c r="BA233" s="37"/>
      <c r="BB233" s="37"/>
      <c r="BC233" s="37"/>
      <c r="BD233" s="37"/>
      <c r="BE233" s="37"/>
    </row>
    <row r="234" spans="2:59" s="31" customFormat="1" ht="31" x14ac:dyDescent="0.3">
      <c r="B234" s="78" t="s">
        <v>580</v>
      </c>
      <c r="C234" s="160"/>
      <c r="D234" s="84" t="s">
        <v>235</v>
      </c>
      <c r="G234" s="160"/>
      <c r="H234" s="84" t="s">
        <v>44</v>
      </c>
      <c r="J234" s="33" t="s">
        <v>566</v>
      </c>
      <c r="K234" s="112">
        <f>IF(ISNUMBER(L234),L234,IF(C236=Pudotusvalikot!$J$4,Kalusto!$E$98,IF(C236=Pudotusvalikot!$J$5,Kalusto!$E$99,IF(C236=Pudotusvalikot!$J$6,Kalusto!$E$100,IF(C236=Pudotusvalikot!$J$7,Kalusto!$E$101,IF(C236=Pudotusvalikot!$J$8,Kalusto!$E$102,IF(C236=Pudotusvalikot!$J$9,Kalusto!$E$103,IF(C236=Pudotusvalikot!$J$11,Kalusto!$E$104,Kalusto!$E$98))))))))</f>
        <v>5.5</v>
      </c>
      <c r="L234" s="63"/>
      <c r="M234" s="77" t="str">
        <f>IF(C236=Pudotusvalikot!$J$9,"kWh/100 km",IF(C236=Pudotusvalikot!$J$6,"kg/100 km","l/100 km"))</f>
        <v>l/100 km</v>
      </c>
      <c r="N234" s="77"/>
      <c r="O234" s="269"/>
      <c r="Q234" s="35"/>
      <c r="R234" s="109">
        <f>SUM(U234:Z234)</f>
        <v>0</v>
      </c>
      <c r="S234" s="102" t="s">
        <v>172</v>
      </c>
      <c r="T234" s="48">
        <f>IF(ISNUMBER(C235*C234*50*G234),C235*C234*50*G234,"")</f>
        <v>0</v>
      </c>
      <c r="U234" s="50">
        <f>IF(ISNUMBER(T234),IF(C236=Pudotusvalikot!$J$5,(Muut!$H$15+Muut!$H$18)*(T234*K234/100),0),"")</f>
        <v>0</v>
      </c>
      <c r="V234" s="50">
        <f>IF(ISNUMBER(T234),IF(C236=Pudotusvalikot!$J$4,(Muut!$H$14+Muut!$H$17)*(T234*K234/100),0),"")</f>
        <v>0</v>
      </c>
      <c r="W234" s="50">
        <f>IF(ISNUMBER(T234),IF(C236=Pudotusvalikot!$J$6,(Muut!$H$16+Muut!$H$19)*(T234*K234/100),0),"")</f>
        <v>0</v>
      </c>
      <c r="X234" s="50">
        <f>IF(ISNUMBER(T234),IF(C236=Pudotusvalikot!$J$7,((Muut!$H$15+Muut!$H$18)*(100%-Kalusto!$O$101)+(Muut!$H$14+Muut!$H$17)*Kalusto!$O$101)*(T234*K234/100),0),"")</f>
        <v>0</v>
      </c>
      <c r="Y234" s="74">
        <f>IF(ISNUMBER(T234),IF(C236=Pudotusvalikot!$J$8,((Kalusto!$K$102)*(100%-Kalusto!$O$102)+(Kalusto!$M$102)*Kalusto!$O$102)*(Muut!$H$13+Muut!$H$12)/100*T234/1000+((Kalusto!$G$102)*(100%-Kalusto!$O$102)+(Kalusto!$I$102)*Kalusto!$O$102)*(K234+Muut!$H$18)/100*T234,0),"")</f>
        <v>0</v>
      </c>
      <c r="Z234" s="74">
        <f>IF(ISNUMBER(T234),IF(C236=Pudotusvalikot!$J$9,Kalusto!$E$103*(K234+Muut!$H$12)/100*T234/1000,0),"")</f>
        <v>0</v>
      </c>
      <c r="AA234" s="108"/>
      <c r="AB234" s="36"/>
      <c r="AC234" s="36"/>
      <c r="AD234" s="36"/>
      <c r="AE234" s="36"/>
      <c r="AF234" s="36"/>
      <c r="AG234" s="36"/>
      <c r="AH234" s="36"/>
      <c r="AI234" s="36"/>
      <c r="AJ234" s="36"/>
      <c r="AK234" s="36"/>
      <c r="AL234" s="36"/>
      <c r="AM234" s="36"/>
      <c r="AN234" s="37"/>
      <c r="AO234" s="37"/>
      <c r="AP234" s="37"/>
      <c r="AQ234" s="37"/>
      <c r="AR234" s="37"/>
      <c r="AS234" s="37"/>
      <c r="AT234" s="37"/>
      <c r="AU234" s="37"/>
      <c r="AV234" s="37"/>
      <c r="AW234" s="37"/>
      <c r="AX234" s="37"/>
      <c r="AY234" s="37"/>
      <c r="AZ234" s="37"/>
      <c r="BA234" s="37"/>
      <c r="BB234" s="37"/>
      <c r="BC234" s="37"/>
      <c r="BD234" s="37"/>
      <c r="BE234" s="37"/>
    </row>
    <row r="235" spans="2:59" s="31" customFormat="1" ht="15.5" x14ac:dyDescent="0.3">
      <c r="B235" s="45" t="s">
        <v>579</v>
      </c>
      <c r="C235" s="160"/>
      <c r="D235" s="84" t="s">
        <v>5</v>
      </c>
      <c r="G235" s="34"/>
      <c r="H235" s="84"/>
      <c r="K235" s="134"/>
      <c r="L235" s="38"/>
      <c r="M235" s="84"/>
      <c r="N235" s="84"/>
      <c r="O235" s="100"/>
      <c r="Q235" s="35"/>
      <c r="R235" s="36" t="s">
        <v>350</v>
      </c>
      <c r="S235" s="36"/>
      <c r="T235" s="36" t="s">
        <v>267</v>
      </c>
      <c r="U235" s="36" t="s">
        <v>268</v>
      </c>
      <c r="V235" s="36" t="s">
        <v>269</v>
      </c>
      <c r="W235" s="36" t="s">
        <v>272</v>
      </c>
      <c r="X235" s="36" t="s">
        <v>270</v>
      </c>
      <c r="Y235" s="36" t="s">
        <v>271</v>
      </c>
      <c r="Z235" s="36" t="s">
        <v>273</v>
      </c>
      <c r="AA235" s="108"/>
      <c r="AB235" s="36"/>
      <c r="AC235" s="36"/>
      <c r="AD235" s="36"/>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9" s="31" customFormat="1" ht="15.5" x14ac:dyDescent="0.3">
      <c r="B236" s="54" t="s">
        <v>576</v>
      </c>
      <c r="C236" s="399" t="s">
        <v>242</v>
      </c>
      <c r="D236" s="399"/>
      <c r="G236" s="34"/>
      <c r="H236" s="84"/>
      <c r="J236" s="33"/>
      <c r="K236" s="34"/>
      <c r="L236" s="34"/>
      <c r="M236" s="84"/>
      <c r="N236" s="84"/>
      <c r="O236" s="100"/>
      <c r="Q236" s="35"/>
      <c r="R236" s="99"/>
      <c r="S236" s="36"/>
      <c r="T236" s="36"/>
      <c r="U236" s="36"/>
      <c r="V236" s="36"/>
      <c r="W236" s="36"/>
      <c r="X236" s="36"/>
      <c r="Y236" s="36"/>
      <c r="Z236" s="36"/>
      <c r="AA236" s="36"/>
      <c r="AB236" s="36"/>
      <c r="AC236" s="36"/>
      <c r="AD236" s="36"/>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9" s="31" customFormat="1" ht="15.5" x14ac:dyDescent="0.3">
      <c r="B237" s="54"/>
      <c r="C237" s="54"/>
      <c r="D237" s="54"/>
      <c r="F237" s="54"/>
      <c r="G237" s="54"/>
      <c r="H237" s="54"/>
      <c r="I237" s="54"/>
      <c r="J237" s="33"/>
      <c r="K237" s="34"/>
      <c r="L237" s="34"/>
      <c r="M237" s="84"/>
      <c r="N237" s="84"/>
      <c r="O237" s="100"/>
      <c r="Q237" s="35"/>
      <c r="R237" s="99"/>
      <c r="S237" s="36"/>
      <c r="T237" s="36"/>
      <c r="U237" s="36"/>
      <c r="V237" s="36"/>
      <c r="W237" s="36"/>
      <c r="X237" s="36"/>
      <c r="Y237" s="36"/>
      <c r="Z237" s="36"/>
      <c r="AA237" s="36"/>
      <c r="AB237" s="36"/>
      <c r="AC237" s="36"/>
      <c r="AD237" s="36"/>
      <c r="AE237" s="36"/>
      <c r="AF237" s="36"/>
      <c r="AG237" s="36"/>
      <c r="AH237" s="36"/>
      <c r="AI237" s="36"/>
      <c r="AJ237" s="36"/>
      <c r="AK237" s="36"/>
      <c r="AL237" s="36"/>
      <c r="AM237" s="36"/>
      <c r="AN237" s="37"/>
      <c r="AO237" s="37"/>
      <c r="AP237" s="37"/>
      <c r="AQ237" s="37"/>
      <c r="AR237" s="37"/>
      <c r="AS237" s="37"/>
      <c r="AT237" s="37"/>
      <c r="AU237" s="37"/>
      <c r="AV237" s="37"/>
      <c r="AW237" s="37"/>
      <c r="AX237" s="37"/>
      <c r="AY237" s="37"/>
      <c r="AZ237" s="37"/>
      <c r="BA237" s="37"/>
      <c r="BB237" s="37"/>
      <c r="BC237" s="37"/>
      <c r="BD237" s="37"/>
      <c r="BE237" s="37"/>
    </row>
    <row r="238" spans="2:59" s="196" customFormat="1" ht="23" x14ac:dyDescent="0.3">
      <c r="B238" s="197" t="s">
        <v>322</v>
      </c>
      <c r="C238" s="198"/>
      <c r="D238" s="199"/>
      <c r="G238" s="198"/>
      <c r="H238" s="199"/>
      <c r="J238" s="200"/>
      <c r="O238" s="270"/>
      <c r="P238" s="201"/>
      <c r="Q238" s="202"/>
      <c r="R238" s="203"/>
      <c r="S238" s="202"/>
      <c r="T238" s="204"/>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4"/>
      <c r="AQ238" s="204"/>
      <c r="AR238" s="204"/>
      <c r="AS238" s="204"/>
      <c r="AT238" s="204"/>
      <c r="AU238" s="204"/>
      <c r="AV238" s="204"/>
      <c r="AW238" s="204"/>
      <c r="AX238" s="204"/>
      <c r="AY238" s="204"/>
      <c r="AZ238" s="204"/>
      <c r="BA238" s="204"/>
      <c r="BB238" s="204"/>
      <c r="BC238" s="204"/>
      <c r="BD238" s="204"/>
      <c r="BE238" s="204"/>
      <c r="BF238" s="204"/>
      <c r="BG238" s="204"/>
    </row>
    <row r="239" spans="2:59" s="31" customFormat="1" ht="15.5" x14ac:dyDescent="0.3">
      <c r="B239" s="9"/>
      <c r="C239" s="34"/>
      <c r="D239" s="84"/>
      <c r="G239" s="34"/>
      <c r="H239" s="84"/>
      <c r="K239" s="34"/>
      <c r="L239" s="34"/>
      <c r="M239" s="84"/>
      <c r="N239" s="84"/>
      <c r="O239" s="84"/>
      <c r="Q239" s="35"/>
      <c r="R239" s="99"/>
      <c r="S239" s="36"/>
      <c r="T239" s="36"/>
      <c r="U239" s="36"/>
      <c r="V239" s="36"/>
      <c r="W239" s="36"/>
      <c r="X239" s="36"/>
      <c r="Y239" s="36"/>
      <c r="Z239" s="36"/>
      <c r="AA239" s="36"/>
      <c r="AB239" s="36"/>
      <c r="AC239" s="36"/>
      <c r="AD239" s="36"/>
      <c r="AE239" s="36"/>
      <c r="AF239" s="36"/>
      <c r="AG239" s="36"/>
      <c r="AH239" s="36"/>
      <c r="AI239" s="36"/>
      <c r="AJ239" s="36"/>
      <c r="AK239" s="36"/>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9" s="298" customFormat="1" ht="18" x14ac:dyDescent="0.3">
      <c r="B240" s="295" t="s">
        <v>486</v>
      </c>
      <c r="C240" s="296"/>
      <c r="D240" s="297"/>
      <c r="G240" s="296"/>
      <c r="H240" s="297"/>
      <c r="K240" s="296"/>
      <c r="L240" s="296"/>
      <c r="M240" s="297"/>
      <c r="N240" s="297"/>
      <c r="O240" s="300"/>
      <c r="P240" s="320"/>
      <c r="Q240" s="304"/>
      <c r="R240" s="298" t="str">
        <f>IF(OR(ISNUMBER(#REF!),ISNUMBER(#REF!),ISNUMBER(#REF!)),SUM(#REF!,#REF!,#REF!),"")</f>
        <v/>
      </c>
      <c r="S240" s="303"/>
      <c r="T240" s="303"/>
      <c r="U240" s="303"/>
      <c r="V240" s="303"/>
      <c r="W240" s="303"/>
      <c r="X240" s="303"/>
      <c r="Y240" s="303"/>
      <c r="Z240" s="303"/>
      <c r="AA240" s="303"/>
      <c r="AB240" s="303"/>
      <c r="AC240" s="303"/>
      <c r="AD240" s="303"/>
      <c r="AE240" s="303"/>
      <c r="AF240" s="303"/>
      <c r="AG240" s="303"/>
      <c r="AH240" s="303"/>
      <c r="AI240" s="303"/>
      <c r="AJ240" s="303"/>
      <c r="AK240" s="303"/>
      <c r="AL240" s="303"/>
      <c r="AM240" s="303"/>
      <c r="AN240" s="304"/>
      <c r="AO240" s="304"/>
      <c r="AP240" s="304"/>
      <c r="AQ240" s="304"/>
      <c r="AR240" s="304"/>
      <c r="AS240" s="304"/>
      <c r="AT240" s="304"/>
      <c r="AU240" s="304"/>
      <c r="AV240" s="304"/>
      <c r="AW240" s="304"/>
      <c r="AX240" s="304"/>
      <c r="AY240" s="304"/>
      <c r="AZ240" s="304"/>
      <c r="BA240" s="304"/>
      <c r="BB240" s="304"/>
      <c r="BC240" s="304"/>
      <c r="BD240" s="304"/>
      <c r="BE240" s="304"/>
    </row>
    <row r="241" spans="2:59" s="31" customFormat="1" ht="15.5" x14ac:dyDescent="0.3">
      <c r="C241" s="34"/>
      <c r="D241" s="84"/>
      <c r="G241" s="34"/>
      <c r="H241" s="84"/>
      <c r="K241" s="34"/>
      <c r="L241" s="34"/>
      <c r="M241" s="84"/>
      <c r="N241" s="84"/>
      <c r="O241" s="84"/>
      <c r="Q241" s="35"/>
      <c r="R241" s="99"/>
      <c r="S241" s="36"/>
      <c r="T241" s="36"/>
      <c r="U241" s="36"/>
      <c r="V241" s="36"/>
      <c r="W241" s="36"/>
      <c r="X241" s="36"/>
      <c r="Y241" s="36"/>
      <c r="Z241" s="36"/>
      <c r="AA241" s="36"/>
      <c r="AB241" s="36"/>
      <c r="AC241" s="36"/>
      <c r="AD241" s="36"/>
      <c r="AE241" s="36"/>
      <c r="AF241" s="36"/>
      <c r="AG241" s="36"/>
      <c r="AH241" s="36"/>
      <c r="AI241" s="36"/>
      <c r="AJ241" s="36"/>
      <c r="AK241" s="36"/>
      <c r="AL241" s="36"/>
      <c r="AM241" s="36"/>
      <c r="AN241" s="37"/>
      <c r="AO241" s="37"/>
      <c r="AP241" s="37"/>
      <c r="AQ241" s="37"/>
      <c r="AR241" s="37"/>
      <c r="AS241" s="37"/>
      <c r="AT241" s="37"/>
      <c r="AU241" s="37"/>
      <c r="AV241" s="37"/>
      <c r="AW241" s="37"/>
      <c r="AX241" s="37"/>
      <c r="AY241" s="37"/>
      <c r="AZ241" s="37"/>
      <c r="BA241" s="37"/>
      <c r="BB241" s="37"/>
      <c r="BC241" s="37"/>
      <c r="BD241" s="37"/>
      <c r="BE241" s="37"/>
      <c r="BF241" s="108"/>
      <c r="BG241" s="108"/>
    </row>
    <row r="242" spans="2:59" s="298" customFormat="1" ht="18" x14ac:dyDescent="0.3">
      <c r="B242" s="295" t="s">
        <v>55</v>
      </c>
      <c r="C242" s="296"/>
      <c r="D242" s="297"/>
      <c r="G242" s="296"/>
      <c r="H242" s="297"/>
      <c r="K242" s="296"/>
      <c r="L242" s="296"/>
      <c r="M242" s="297"/>
      <c r="N242" s="297"/>
      <c r="O242" s="300"/>
      <c r="P242" s="320"/>
      <c r="Q242" s="304"/>
      <c r="R242" s="298" t="str">
        <f>IF(OR(ISNUMBER(#REF!),ISNUMBER(#REF!),ISNUMBER(#REF!)),SUM(#REF!,#REF!,#REF!),"")</f>
        <v/>
      </c>
      <c r="S242" s="303"/>
      <c r="T242" s="303"/>
      <c r="U242" s="303"/>
      <c r="V242" s="303"/>
      <c r="W242" s="303"/>
      <c r="X242" s="303"/>
      <c r="Y242" s="303"/>
      <c r="Z242" s="303"/>
      <c r="AA242" s="303"/>
      <c r="AB242" s="303"/>
      <c r="AC242" s="303"/>
      <c r="AD242" s="303"/>
      <c r="AE242" s="303"/>
      <c r="AF242" s="303"/>
      <c r="AG242" s="303"/>
      <c r="AH242" s="303"/>
      <c r="AI242" s="303"/>
      <c r="AJ242" s="303"/>
      <c r="AK242" s="303"/>
      <c r="AL242" s="303"/>
      <c r="AM242" s="303"/>
      <c r="AN242" s="304"/>
      <c r="AO242" s="304"/>
      <c r="AP242" s="304"/>
      <c r="AQ242" s="304"/>
      <c r="AR242" s="304"/>
      <c r="AS242" s="304"/>
      <c r="AT242" s="304"/>
      <c r="AU242" s="304"/>
      <c r="AV242" s="304"/>
      <c r="AW242" s="304"/>
      <c r="AX242" s="304"/>
      <c r="AY242" s="304"/>
      <c r="AZ242" s="304"/>
      <c r="BA242" s="304"/>
      <c r="BB242" s="304"/>
      <c r="BC242" s="304"/>
      <c r="BD242" s="304"/>
      <c r="BE242" s="304"/>
    </row>
    <row r="243" spans="2:59" s="31" customFormat="1" ht="15.5" x14ac:dyDescent="0.3">
      <c r="B243" s="9"/>
      <c r="C243" s="34"/>
      <c r="D243" s="84"/>
      <c r="G243" s="34"/>
      <c r="H243" s="84"/>
      <c r="K243" s="34"/>
      <c r="L243" s="34"/>
      <c r="M243" s="84"/>
      <c r="N243" s="84"/>
      <c r="O243" s="255" t="s">
        <v>644</v>
      </c>
      <c r="Q243" s="35"/>
      <c r="R243" s="99"/>
      <c r="S243" s="36"/>
      <c r="T243" s="36"/>
      <c r="U243" s="36"/>
      <c r="V243" s="36"/>
      <c r="W243" s="36"/>
      <c r="X243" s="36"/>
      <c r="Y243" s="36"/>
      <c r="Z243" s="36"/>
      <c r="AA243" s="36"/>
      <c r="AB243" s="36"/>
      <c r="AC243" s="36"/>
      <c r="AD243" s="36"/>
      <c r="AE243" s="36"/>
      <c r="AF243" s="36"/>
      <c r="AG243" s="36"/>
      <c r="AH243" s="36"/>
      <c r="AI243" s="36"/>
      <c r="AJ243" s="36"/>
      <c r="AK243" s="36"/>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9" s="31" customFormat="1" ht="15.5" x14ac:dyDescent="0.3">
      <c r="B244" s="155" t="s">
        <v>487</v>
      </c>
      <c r="C244" s="34"/>
      <c r="D244" s="84"/>
      <c r="G244" s="34"/>
      <c r="H244" s="84"/>
      <c r="K244" s="38" t="s">
        <v>329</v>
      </c>
      <c r="L244" s="38" t="s">
        <v>201</v>
      </c>
      <c r="M244" s="84"/>
      <c r="N244" s="84"/>
      <c r="O244" s="256"/>
      <c r="Q244" s="35"/>
      <c r="R244" s="36" t="s">
        <v>350</v>
      </c>
      <c r="S244" s="36"/>
      <c r="T244" s="36" t="s">
        <v>275</v>
      </c>
      <c r="U244" s="108"/>
      <c r="V244" s="36"/>
      <c r="W244" s="36"/>
      <c r="X244" s="36"/>
      <c r="Y244" s="36"/>
      <c r="Z244" s="36"/>
      <c r="AA244" s="36"/>
      <c r="AB244" s="36"/>
      <c r="AC244" s="36"/>
      <c r="AD244" s="36"/>
      <c r="AE244" s="36"/>
      <c r="AF244" s="36"/>
      <c r="AG244" s="36"/>
      <c r="AH244" s="36"/>
      <c r="AI244" s="36"/>
      <c r="AJ244" s="36"/>
      <c r="AK244" s="36"/>
      <c r="AL244" s="36"/>
      <c r="AM244" s="36"/>
      <c r="AN244" s="37"/>
      <c r="AO244" s="37"/>
      <c r="AP244" s="37"/>
      <c r="AQ244" s="37"/>
      <c r="AR244" s="37"/>
      <c r="AS244" s="37"/>
      <c r="AT244" s="37"/>
      <c r="AU244" s="37"/>
      <c r="AV244" s="37"/>
      <c r="AW244" s="37"/>
      <c r="AX244" s="37"/>
      <c r="AY244" s="37"/>
      <c r="AZ244" s="37"/>
      <c r="BA244" s="37"/>
      <c r="BB244" s="37"/>
      <c r="BC244" s="37"/>
      <c r="BD244" s="37"/>
      <c r="BE244" s="37"/>
    </row>
    <row r="245" spans="2:59" s="31" customFormat="1" ht="15.5" x14ac:dyDescent="0.3">
      <c r="B245" s="54" t="s">
        <v>510</v>
      </c>
      <c r="C245" s="392" t="s">
        <v>128</v>
      </c>
      <c r="D245" s="393"/>
      <c r="E245" s="393"/>
      <c r="F245" s="393"/>
      <c r="G245" s="394"/>
      <c r="H245" s="84"/>
      <c r="J245" s="33" t="s">
        <v>470</v>
      </c>
      <c r="K245" s="96">
        <f>IF(ISNUMBER(L245),L245,IF(OR(C245=Pudotusvalikot!$D$67,C245=Pudotusvalikot!$D$68),"--",VLOOKUP(C245,Kalusto!$C$5:$E$42,3,FALSE)*IF(OR(C246=Pudotusvalikot!$V$3,C246=Pudotusvalikot!$V$4),Muut!$E$38,IF(C246=Pudotusvalikot!$V$5,Muut!$E$39,IF(C246=Pudotusvalikot!$V$6,Muut!$E$40,Muut!$E$41)))))</f>
        <v>34.130000000000003</v>
      </c>
      <c r="L245" s="40"/>
      <c r="M245" s="41" t="s">
        <v>205</v>
      </c>
      <c r="N245" s="41"/>
      <c r="O245" s="265"/>
      <c r="Q245" s="35"/>
      <c r="R245" s="50" t="str">
        <f>IF(ISNUMBER(K245*T245),K245*T245,"")</f>
        <v/>
      </c>
      <c r="S245" s="102" t="s">
        <v>172</v>
      </c>
      <c r="T245" s="50" t="str">
        <f>IF(ISNUMBER(C247),C247,"")</f>
        <v/>
      </c>
      <c r="U245" s="108"/>
      <c r="V245" s="61"/>
      <c r="W245" s="36"/>
      <c r="X245" s="36"/>
      <c r="Y245" s="36"/>
      <c r="Z245" s="36"/>
      <c r="AA245" s="36"/>
      <c r="AB245" s="36"/>
      <c r="AC245" s="36"/>
      <c r="AD245" s="36"/>
      <c r="AE245" s="36"/>
      <c r="AF245" s="36"/>
      <c r="AG245" s="36"/>
      <c r="AH245" s="36"/>
      <c r="AI245" s="36"/>
      <c r="AJ245" s="36"/>
      <c r="AK245" s="36"/>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9" s="31" customFormat="1" ht="15.5" x14ac:dyDescent="0.3">
      <c r="B246" s="170" t="s">
        <v>509</v>
      </c>
      <c r="C246" s="160" t="s">
        <v>242</v>
      </c>
      <c r="D246" s="34"/>
      <c r="E246" s="34"/>
      <c r="F246" s="34"/>
      <c r="G246" s="34"/>
      <c r="H246" s="59"/>
      <c r="J246" s="173"/>
      <c r="K246" s="173"/>
      <c r="L246" s="173"/>
      <c r="M246" s="41"/>
      <c r="N246" s="41"/>
      <c r="O246" s="265"/>
      <c r="Q246" s="47"/>
      <c r="R246" s="61"/>
      <c r="S246" s="102"/>
      <c r="T246" s="36"/>
      <c r="U246" s="36"/>
      <c r="V246" s="181"/>
      <c r="W246" s="181"/>
      <c r="X246" s="61"/>
      <c r="Y246" s="36"/>
      <c r="Z246" s="61"/>
      <c r="AA246" s="182"/>
      <c r="AB246" s="61"/>
      <c r="AC246" s="61"/>
      <c r="AD246" s="61"/>
      <c r="AE246" s="61"/>
      <c r="AF246" s="182"/>
      <c r="AG246" s="61"/>
      <c r="AH246" s="36"/>
      <c r="AI246" s="36"/>
      <c r="AJ246" s="36"/>
      <c r="AK246" s="108"/>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9" s="31" customFormat="1" ht="15.5" x14ac:dyDescent="0.3">
      <c r="B247" s="54" t="s">
        <v>473</v>
      </c>
      <c r="C247" s="193"/>
      <c r="D247" s="84" t="s">
        <v>51</v>
      </c>
      <c r="G247" s="34"/>
      <c r="H247" s="84"/>
      <c r="J247" s="33"/>
      <c r="K247" s="34"/>
      <c r="L247" s="34"/>
      <c r="M247" s="84"/>
      <c r="N247" s="84"/>
      <c r="O247" s="100"/>
      <c r="Q247" s="35"/>
      <c r="R247" s="36"/>
      <c r="S247" s="36"/>
      <c r="T247" s="36"/>
      <c r="U247" s="108"/>
      <c r="V247" s="36"/>
      <c r="W247" s="36"/>
      <c r="X247" s="36"/>
      <c r="Y247" s="36"/>
      <c r="Z247" s="36"/>
      <c r="AA247" s="36"/>
      <c r="AB247" s="36"/>
      <c r="AC247" s="36"/>
      <c r="AD247" s="36"/>
      <c r="AE247" s="36"/>
      <c r="AF247" s="36"/>
      <c r="AG247" s="36"/>
      <c r="AH247" s="36"/>
      <c r="AI247" s="36"/>
      <c r="AJ247" s="36"/>
      <c r="AK247" s="36"/>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9" s="31" customFormat="1" ht="15.5" x14ac:dyDescent="0.3">
      <c r="B248" s="155" t="s">
        <v>488</v>
      </c>
      <c r="C248" s="34"/>
      <c r="D248" s="84"/>
      <c r="G248" s="34"/>
      <c r="H248" s="84"/>
      <c r="J248" s="33"/>
      <c r="K248" s="38" t="s">
        <v>329</v>
      </c>
      <c r="L248" s="38" t="s">
        <v>201</v>
      </c>
      <c r="M248" s="84"/>
      <c r="N248" s="84"/>
      <c r="O248" s="100"/>
      <c r="Q248" s="35"/>
      <c r="R248" s="36" t="s">
        <v>350</v>
      </c>
      <c r="S248" s="36"/>
      <c r="T248" s="36" t="s">
        <v>275</v>
      </c>
      <c r="U248" s="108"/>
      <c r="V248" s="36"/>
      <c r="W248" s="36"/>
      <c r="X248" s="36"/>
      <c r="Y248" s="36"/>
      <c r="Z248" s="36"/>
      <c r="AA248" s="36"/>
      <c r="AB248" s="36"/>
      <c r="AC248" s="36"/>
      <c r="AD248" s="36"/>
      <c r="AE248" s="36"/>
      <c r="AF248" s="36"/>
      <c r="AG248" s="36"/>
      <c r="AH248" s="36"/>
      <c r="AI248" s="36"/>
      <c r="AJ248" s="36"/>
      <c r="AK248" s="36"/>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9" s="31" customFormat="1" ht="15.5" x14ac:dyDescent="0.3">
      <c r="B249" s="54" t="s">
        <v>510</v>
      </c>
      <c r="C249" s="392" t="s">
        <v>128</v>
      </c>
      <c r="D249" s="393"/>
      <c r="E249" s="393"/>
      <c r="F249" s="393"/>
      <c r="G249" s="394"/>
      <c r="H249" s="84"/>
      <c r="J249" s="33" t="s">
        <v>470</v>
      </c>
      <c r="K249" s="96">
        <f>IF(ISNUMBER(L249),L249,IF(OR(C249=Pudotusvalikot!$D$67,C249=Pudotusvalikot!$D$68),"--",VLOOKUP(C249,Kalusto!$C$5:$E$42,3,FALSE)*IF(OR(C250=Pudotusvalikot!$V$3,C250=Pudotusvalikot!$V$4),Muut!$E$38,IF(C250=Pudotusvalikot!$V$5,Muut!$E$39,IF(C250=Pudotusvalikot!$V$6,Muut!$E$40,Muut!$E$41)))))</f>
        <v>34.130000000000003</v>
      </c>
      <c r="L249" s="40"/>
      <c r="M249" s="41" t="s">
        <v>205</v>
      </c>
      <c r="N249" s="41"/>
      <c r="O249" s="265"/>
      <c r="Q249" s="35"/>
      <c r="R249" s="50" t="str">
        <f>IF(ISNUMBER(K249*T249),K249*T249,"")</f>
        <v/>
      </c>
      <c r="S249" s="102" t="s">
        <v>172</v>
      </c>
      <c r="T249" s="50" t="str">
        <f>IF(ISNUMBER(C251),C251,"")</f>
        <v/>
      </c>
      <c r="U249" s="108"/>
      <c r="V249" s="61"/>
      <c r="W249" s="36"/>
      <c r="X249" s="36"/>
      <c r="Y249" s="36"/>
      <c r="Z249" s="36"/>
      <c r="AA249" s="36"/>
      <c r="AB249" s="36"/>
      <c r="AC249" s="36"/>
      <c r="AD249" s="36"/>
      <c r="AE249" s="36"/>
      <c r="AF249" s="36"/>
      <c r="AG249" s="36"/>
      <c r="AH249" s="36"/>
      <c r="AI249" s="36"/>
      <c r="AJ249" s="36"/>
      <c r="AK249" s="36"/>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9" s="31" customFormat="1" ht="15.5" x14ac:dyDescent="0.3">
      <c r="B250" s="170" t="s">
        <v>509</v>
      </c>
      <c r="C250" s="160" t="s">
        <v>242</v>
      </c>
      <c r="D250" s="34"/>
      <c r="E250" s="34"/>
      <c r="F250" s="34"/>
      <c r="G250" s="34"/>
      <c r="H250" s="59"/>
      <c r="J250" s="173"/>
      <c r="K250" s="173"/>
      <c r="L250" s="173"/>
      <c r="M250" s="41"/>
      <c r="N250" s="41"/>
      <c r="O250" s="265"/>
      <c r="Q250" s="47"/>
      <c r="R250" s="61"/>
      <c r="S250" s="102"/>
      <c r="T250" s="36"/>
      <c r="U250" s="36"/>
      <c r="V250" s="181"/>
      <c r="W250" s="181"/>
      <c r="X250" s="61"/>
      <c r="Y250" s="36"/>
      <c r="Z250" s="61"/>
      <c r="AA250" s="182"/>
      <c r="AB250" s="61"/>
      <c r="AC250" s="61"/>
      <c r="AD250" s="61"/>
      <c r="AE250" s="61"/>
      <c r="AF250" s="182"/>
      <c r="AG250" s="61"/>
      <c r="AH250" s="36"/>
      <c r="AI250" s="36"/>
      <c r="AJ250" s="36"/>
      <c r="AK250" s="108"/>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9" s="31" customFormat="1" ht="15.5" x14ac:dyDescent="0.3">
      <c r="B251" s="54" t="s">
        <v>473</v>
      </c>
      <c r="C251" s="193"/>
      <c r="D251" s="84" t="s">
        <v>51</v>
      </c>
      <c r="G251" s="34"/>
      <c r="H251" s="84"/>
      <c r="J251" s="33"/>
      <c r="K251" s="34"/>
      <c r="L251" s="34"/>
      <c r="M251" s="84"/>
      <c r="N251" s="84"/>
      <c r="O251" s="100"/>
      <c r="Q251" s="35"/>
      <c r="R251" s="36"/>
      <c r="S251" s="36"/>
      <c r="T251" s="36"/>
      <c r="U251" s="108"/>
      <c r="V251" s="36"/>
      <c r="W251" s="36"/>
      <c r="X251" s="36"/>
      <c r="Y251" s="36"/>
      <c r="Z251" s="36"/>
      <c r="AA251" s="36"/>
      <c r="AB251" s="36"/>
      <c r="AC251" s="36"/>
      <c r="AD251" s="36"/>
      <c r="AE251" s="36"/>
      <c r="AF251" s="36"/>
      <c r="AG251" s="36"/>
      <c r="AH251" s="36"/>
      <c r="AI251" s="36"/>
      <c r="AJ251" s="36"/>
      <c r="AK251" s="36"/>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9" s="31" customFormat="1" ht="15.5" x14ac:dyDescent="0.3">
      <c r="B252" s="155" t="s">
        <v>489</v>
      </c>
      <c r="C252" s="34"/>
      <c r="D252" s="84"/>
      <c r="G252" s="34"/>
      <c r="H252" s="84"/>
      <c r="J252" s="33"/>
      <c r="K252" s="38" t="s">
        <v>329</v>
      </c>
      <c r="L252" s="38" t="s">
        <v>201</v>
      </c>
      <c r="M252" s="84"/>
      <c r="N252" s="84"/>
      <c r="O252" s="100"/>
      <c r="Q252" s="35"/>
      <c r="R252" s="36" t="s">
        <v>350</v>
      </c>
      <c r="S252" s="36"/>
      <c r="T252" s="36" t="s">
        <v>275</v>
      </c>
      <c r="U252" s="108"/>
      <c r="V252" s="36"/>
      <c r="W252" s="36"/>
      <c r="X252" s="36"/>
      <c r="Y252" s="36"/>
      <c r="Z252" s="36"/>
      <c r="AA252" s="36"/>
      <c r="AB252" s="36"/>
      <c r="AC252" s="36"/>
      <c r="AD252" s="36"/>
      <c r="AE252" s="36"/>
      <c r="AF252" s="36"/>
      <c r="AG252" s="36"/>
      <c r="AH252" s="36"/>
      <c r="AI252" s="36"/>
      <c r="AJ252" s="36"/>
      <c r="AK252" s="36"/>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9" s="31" customFormat="1" ht="15.5" x14ac:dyDescent="0.3">
      <c r="B253" s="54" t="s">
        <v>510</v>
      </c>
      <c r="C253" s="392" t="s">
        <v>128</v>
      </c>
      <c r="D253" s="393"/>
      <c r="E253" s="393"/>
      <c r="F253" s="393"/>
      <c r="G253" s="394"/>
      <c r="H253" s="84"/>
      <c r="J253" s="33" t="s">
        <v>470</v>
      </c>
      <c r="K253" s="96">
        <f>IF(ISNUMBER(L253),L253,IF(OR(C253=Pudotusvalikot!$D$67,C253=Pudotusvalikot!$D$68),"--",VLOOKUP(C253,Kalusto!$C$5:$E$42,3,FALSE)*IF(OR(C254=Pudotusvalikot!$V$3,C254=Pudotusvalikot!$V$4),Muut!$E$38,IF(C254=Pudotusvalikot!$V$5,Muut!$E$39,IF(C254=Pudotusvalikot!$V$6,Muut!$E$40,Muut!$E$41)))))</f>
        <v>34.130000000000003</v>
      </c>
      <c r="L253" s="40"/>
      <c r="M253" s="41" t="s">
        <v>205</v>
      </c>
      <c r="N253" s="41"/>
      <c r="O253" s="265"/>
      <c r="Q253" s="35"/>
      <c r="R253" s="50" t="str">
        <f>IF(ISNUMBER(K253*T253),K253*T253,"")</f>
        <v/>
      </c>
      <c r="S253" s="102" t="s">
        <v>172</v>
      </c>
      <c r="T253" s="50" t="str">
        <f>IF(ISNUMBER(C255),C255,"")</f>
        <v/>
      </c>
      <c r="U253" s="108"/>
      <c r="V253" s="61"/>
      <c r="W253" s="36"/>
      <c r="X253" s="36"/>
      <c r="Y253" s="36"/>
      <c r="Z253" s="36"/>
      <c r="AA253" s="36"/>
      <c r="AB253" s="36"/>
      <c r="AC253" s="36"/>
      <c r="AD253" s="36"/>
      <c r="AE253" s="36"/>
      <c r="AF253" s="36"/>
      <c r="AG253" s="36"/>
      <c r="AH253" s="36"/>
      <c r="AI253" s="36"/>
      <c r="AJ253" s="36"/>
      <c r="AK253" s="36"/>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9" s="31" customFormat="1" ht="15.5" x14ac:dyDescent="0.3">
      <c r="B254" s="170" t="s">
        <v>509</v>
      </c>
      <c r="C254" s="160" t="s">
        <v>242</v>
      </c>
      <c r="D254" s="34"/>
      <c r="E254" s="34"/>
      <c r="F254" s="34"/>
      <c r="G254" s="34"/>
      <c r="H254" s="59"/>
      <c r="J254" s="173"/>
      <c r="K254" s="173"/>
      <c r="L254" s="173"/>
      <c r="M254" s="41"/>
      <c r="N254" s="41"/>
      <c r="O254" s="265"/>
      <c r="Q254" s="47"/>
      <c r="R254" s="61"/>
      <c r="S254" s="102"/>
      <c r="T254" s="36"/>
      <c r="U254" s="36"/>
      <c r="V254" s="181"/>
      <c r="W254" s="181"/>
      <c r="X254" s="61"/>
      <c r="Y254" s="36"/>
      <c r="Z254" s="61"/>
      <c r="AA254" s="182"/>
      <c r="AB254" s="61"/>
      <c r="AC254" s="61"/>
      <c r="AD254" s="61"/>
      <c r="AE254" s="61"/>
      <c r="AF254" s="182"/>
      <c r="AG254" s="61"/>
      <c r="AH254" s="36"/>
      <c r="AI254" s="36"/>
      <c r="AJ254" s="36"/>
      <c r="AK254" s="108"/>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9" s="31" customFormat="1" ht="15.5" x14ac:dyDescent="0.3">
      <c r="B255" s="54" t="s">
        <v>473</v>
      </c>
      <c r="C255" s="193"/>
      <c r="D255" s="84" t="s">
        <v>51</v>
      </c>
      <c r="G255" s="34"/>
      <c r="H255" s="84"/>
      <c r="J255" s="33"/>
      <c r="K255" s="34"/>
      <c r="L255" s="34"/>
      <c r="M255" s="84"/>
      <c r="N255" s="84"/>
      <c r="O255" s="100"/>
      <c r="Q255" s="35"/>
      <c r="R255" s="99"/>
      <c r="S255" s="36"/>
      <c r="T255" s="36"/>
      <c r="U255" s="36"/>
      <c r="V255" s="36"/>
      <c r="W255" s="36"/>
      <c r="X255" s="36"/>
      <c r="Y255" s="36"/>
      <c r="Z255" s="36"/>
      <c r="AA255" s="36"/>
      <c r="AB255" s="36"/>
      <c r="AC255" s="36"/>
      <c r="AD255" s="36"/>
      <c r="AE255" s="36"/>
      <c r="AF255" s="36"/>
      <c r="AG255" s="36"/>
      <c r="AH255" s="36"/>
      <c r="AI255" s="36"/>
      <c r="AJ255" s="36"/>
      <c r="AK255" s="36"/>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9" s="31" customFormat="1" ht="15.5" x14ac:dyDescent="0.3">
      <c r="C256" s="34"/>
      <c r="D256" s="84"/>
      <c r="G256" s="34"/>
      <c r="H256" s="84"/>
      <c r="K256" s="34"/>
      <c r="L256" s="34"/>
      <c r="M256" s="84"/>
      <c r="N256" s="84"/>
      <c r="O256" s="84"/>
      <c r="Q256" s="35"/>
      <c r="R256" s="99"/>
      <c r="S256" s="36"/>
      <c r="T256" s="36"/>
      <c r="U256" s="36"/>
      <c r="V256" s="36"/>
      <c r="W256" s="36"/>
      <c r="X256" s="36"/>
      <c r="Y256" s="36"/>
      <c r="Z256" s="36"/>
      <c r="AA256" s="36"/>
      <c r="AB256" s="36"/>
      <c r="AC256" s="36"/>
      <c r="AD256" s="36"/>
      <c r="AE256" s="36"/>
      <c r="AF256" s="36"/>
      <c r="AG256" s="36"/>
      <c r="AH256" s="36"/>
      <c r="AI256" s="36"/>
      <c r="AJ256" s="36"/>
      <c r="AK256" s="36"/>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298" customFormat="1" ht="18" x14ac:dyDescent="0.3">
      <c r="B257" s="295" t="s">
        <v>745</v>
      </c>
      <c r="C257" s="296"/>
      <c r="D257" s="297"/>
      <c r="G257" s="296"/>
      <c r="H257" s="297"/>
      <c r="K257" s="296"/>
      <c r="L257" s="296"/>
      <c r="M257" s="297"/>
      <c r="N257" s="297"/>
      <c r="O257" s="300"/>
      <c r="P257" s="320"/>
      <c r="Q257" s="304"/>
      <c r="R257" s="298" t="str">
        <f>IF(OR(ISNUMBER(#REF!),ISNUMBER(#REF!),ISNUMBER(#REF!),ISNUMBER(#REF!),ISNUMBER(#REF!)),SUM(#REF!,#REF!,#REF!,#REF!,#REF!),"")</f>
        <v/>
      </c>
      <c r="S257" s="303"/>
      <c r="T257" s="303"/>
      <c r="U257" s="303"/>
      <c r="V257" s="303"/>
      <c r="W257" s="303"/>
      <c r="X257" s="303"/>
      <c r="Y257" s="303"/>
      <c r="Z257" s="303"/>
      <c r="AA257" s="303"/>
      <c r="AB257" s="303"/>
      <c r="AC257" s="303"/>
      <c r="AD257" s="303"/>
      <c r="AE257" s="303"/>
      <c r="AF257" s="303"/>
      <c r="AG257" s="303"/>
      <c r="AH257" s="303"/>
      <c r="AI257" s="303"/>
      <c r="AJ257" s="303"/>
      <c r="AK257" s="303"/>
      <c r="AL257" s="303"/>
      <c r="AM257" s="303"/>
      <c r="AN257" s="304"/>
      <c r="AO257" s="304"/>
      <c r="AP257" s="304"/>
      <c r="AQ257" s="304"/>
      <c r="AR257" s="304"/>
      <c r="AS257" s="304"/>
      <c r="AT257" s="304"/>
      <c r="AU257" s="304"/>
      <c r="AV257" s="304"/>
      <c r="AW257" s="304"/>
      <c r="AX257" s="304"/>
      <c r="AY257" s="304"/>
      <c r="AZ257" s="304"/>
      <c r="BA257" s="304"/>
      <c r="BB257" s="304"/>
      <c r="BC257" s="304"/>
      <c r="BD257" s="304"/>
      <c r="BE257" s="304"/>
    </row>
    <row r="258" spans="2:57" s="31" customFormat="1" ht="15.5" x14ac:dyDescent="0.3">
      <c r="B258" s="9"/>
      <c r="C258" s="34"/>
      <c r="D258" s="84"/>
      <c r="E258" s="34"/>
      <c r="F258" s="34"/>
      <c r="G258" s="38"/>
      <c r="H258" s="84"/>
      <c r="J258" s="33"/>
      <c r="K258" s="38"/>
      <c r="L258" s="38"/>
      <c r="M258" s="86"/>
      <c r="N258" s="86"/>
      <c r="O258" s="255" t="s">
        <v>644</v>
      </c>
      <c r="P258" s="38"/>
      <c r="Q258" s="35"/>
      <c r="R258" s="99"/>
      <c r="S258" s="36"/>
      <c r="T258" s="36"/>
      <c r="U258" s="36"/>
      <c r="V258" s="36"/>
      <c r="W258" s="36"/>
      <c r="X258" s="36"/>
      <c r="Y258" s="36"/>
      <c r="Z258" s="36"/>
      <c r="AA258" s="36"/>
      <c r="AB258" s="36"/>
      <c r="AC258" s="36"/>
      <c r="AD258" s="36"/>
      <c r="AE258" s="36"/>
      <c r="AF258" s="36"/>
      <c r="AG258" s="36"/>
      <c r="AH258" s="36"/>
      <c r="AI258" s="36"/>
      <c r="AJ258" s="36"/>
      <c r="AK258" s="36"/>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5" x14ac:dyDescent="0.3">
      <c r="B259" s="155" t="s">
        <v>0</v>
      </c>
      <c r="C259" s="34" t="s">
        <v>50</v>
      </c>
      <c r="D259" s="84"/>
      <c r="E259" s="34"/>
      <c r="F259" s="34"/>
      <c r="G259" s="38" t="s">
        <v>199</v>
      </c>
      <c r="H259" s="84"/>
      <c r="J259" s="33"/>
      <c r="K259" s="38" t="s">
        <v>329</v>
      </c>
      <c r="L259" s="38" t="s">
        <v>201</v>
      </c>
      <c r="M259" s="86"/>
      <c r="N259" s="86"/>
      <c r="O259" s="256"/>
      <c r="P259" s="38"/>
      <c r="Q259" s="35"/>
      <c r="R259" s="36" t="s">
        <v>350</v>
      </c>
      <c r="S259" s="36"/>
      <c r="T259" s="36" t="s">
        <v>446</v>
      </c>
      <c r="U259" s="36" t="s">
        <v>445</v>
      </c>
      <c r="V259" s="36" t="s">
        <v>443</v>
      </c>
      <c r="W259" s="36" t="s">
        <v>444</v>
      </c>
      <c r="X259" s="36" t="s">
        <v>447</v>
      </c>
      <c r="Y259" s="36" t="s">
        <v>449</v>
      </c>
      <c r="Z259" s="36" t="s">
        <v>448</v>
      </c>
      <c r="AA259" s="36" t="s">
        <v>202</v>
      </c>
      <c r="AB259" s="36" t="s">
        <v>380</v>
      </c>
      <c r="AC259" s="36" t="s">
        <v>450</v>
      </c>
      <c r="AD259" s="36" t="s">
        <v>381</v>
      </c>
      <c r="AE259" s="36" t="s">
        <v>451</v>
      </c>
      <c r="AF259" s="36" t="s">
        <v>452</v>
      </c>
      <c r="AG259" s="36" t="s">
        <v>638</v>
      </c>
      <c r="AH259" s="36" t="s">
        <v>206</v>
      </c>
      <c r="AI259" s="36" t="s">
        <v>278</v>
      </c>
      <c r="AJ259" s="36" t="s">
        <v>207</v>
      </c>
      <c r="AK259" s="108"/>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46.5" x14ac:dyDescent="0.3">
      <c r="B260" s="170" t="s">
        <v>553</v>
      </c>
      <c r="C260" s="160"/>
      <c r="D260" s="89" t="s">
        <v>52</v>
      </c>
      <c r="E260" s="59"/>
      <c r="F260" s="57"/>
      <c r="G260" s="161"/>
      <c r="H260" s="84" t="str">
        <f>IF(D260="t","","t/m3")</f>
        <v/>
      </c>
      <c r="J260" s="173" t="s">
        <v>441</v>
      </c>
      <c r="K260" s="96">
        <f>IF(ISNUMBER(L260),L260,IF(OR(C261=Pudotusvalikot!$D$14,C261=Pudotusvalikot!$D$15),Kalusto!$G$96,VLOOKUP(C261,Kalusto!$C$44:$G$83,5,FALSE))*IF(OR(C262=Pudotusvalikot!$V$3,C262=Pudotusvalikot!$V$4),Muut!$E$38,IF(C262=Pudotusvalikot!$V$5,Muut!$E$39,IF(C262=Pudotusvalikot!$V$6,Muut!$E$40,Muut!$E$41))))</f>
        <v>5.1630000000000002E-2</v>
      </c>
      <c r="L260" s="40"/>
      <c r="M260" s="41" t="s">
        <v>200</v>
      </c>
      <c r="N260" s="41"/>
      <c r="O260" s="265"/>
      <c r="Q260" s="47"/>
      <c r="R260" s="50" t="str">
        <f ca="1">IF(AND(NOT(ISNUMBER(AB260)),NOT(ISNUMBER(AG260))),"",IF(ISNUMBER(AB260),AB260,0)+IF(ISNUMBER(AG260),AG260,0))</f>
        <v/>
      </c>
      <c r="S260" s="102" t="s">
        <v>172</v>
      </c>
      <c r="T260" s="48" t="str">
        <f>IF(ISNUMBER(L260),"Kohdetieto",IF(OR(C261=Pudotusvalikot!$D$14,C261=Pudotusvalikot!$D$15),Kalusto!$I$96,VLOOKUP(C261,Kalusto!$C$44:$L$83,7,FALSE)))</f>
        <v>Maansiirtoauto</v>
      </c>
      <c r="U260" s="48">
        <f>IF(ISNUMBER(L260),"Kohdetieto",IF(OR(C261=Pudotusvalikot!$D$14,C261=Pudotusvalikot!$D$15),Kalusto!$J$96,VLOOKUP(C261,Kalusto!$C$44:$L$83,8,FALSE)))</f>
        <v>32</v>
      </c>
      <c r="V260" s="49">
        <f>IF(ISNUMBER(L260),"Kohdetieto",IF(OR(C261=Pudotusvalikot!$D$14,C261=Pudotusvalikot!$D$15),Kalusto!$K$96,VLOOKUP(C261,Kalusto!$C$44:$L$83,9,FALSE)))</f>
        <v>1</v>
      </c>
      <c r="W260" s="49" t="str">
        <f>IF(ISNUMBER(L260),"Kohdetieto",IF(OR(C261=Pudotusvalikot!$D$14,C261=Pudotusvalikot!$D$15),Kalusto!$L$96,VLOOKUP(C261,Kalusto!$C$44:$L$83,10,FALSE)))</f>
        <v>maantieajo</v>
      </c>
      <c r="X260" s="50" t="str">
        <f>IF(ISBLANK(C260),"",IF(D260="t",C260,C260*G260))</f>
        <v/>
      </c>
      <c r="Y260" s="48" t="str">
        <f>IF(ISNUMBER(C263),C263,"")</f>
        <v/>
      </c>
      <c r="Z260" s="50" t="str">
        <f>IF(ISNUMBER(X260/(U260*V260)*Y260),X260/(U260*V260)*Y260,"")</f>
        <v/>
      </c>
      <c r="AA260" s="51">
        <f>IF(ISNUMBER(L260),L260,K260)</f>
        <v>5.1630000000000002E-2</v>
      </c>
      <c r="AB260" s="50" t="str">
        <f>IF(ISNUMBER(Y260*X260*K260),Y260*X260*K260,"")</f>
        <v/>
      </c>
      <c r="AC260" s="50" t="str">
        <f>IF(ISNUMBER(Y260),Y260,"")</f>
        <v/>
      </c>
      <c r="AD260" s="50" t="str">
        <f>IF(ISNUMBER(X260),IF(ISNUMBER(X260/(U260*V260)),CEILING(X260/(U260*V260),1),""),"")</f>
        <v/>
      </c>
      <c r="AE260" s="50" t="str">
        <f>IF(ISNUMBER(AD260*AC260),AD260*AC260,"")</f>
        <v/>
      </c>
      <c r="AF260" s="51">
        <f ca="1">IF(ISNUMBER(L261),L261,K261)</f>
        <v>0.71940999999999999</v>
      </c>
      <c r="AG260" s="50" t="str">
        <f ca="1">IF(ISNUMBER(AC260*AD260*K261),AC260*AD260*K261,"")</f>
        <v/>
      </c>
      <c r="AH260" s="48">
        <f>IF(T260="Jakelukuorma-auto",0,IF(T260="Maansiirtoauto",4,IF(T260="Puoliperävaunu",6,8)))</f>
        <v>4</v>
      </c>
      <c r="AI260" s="48">
        <f>IF(AND(T260="Jakelukuorma-auto",U260=6),0,IF(AND(T260="Jakelukuorma-auto",U260=15),2,0))</f>
        <v>0</v>
      </c>
      <c r="AJ260" s="48">
        <f>IF(W260="maantieajo",0,1)</f>
        <v>0</v>
      </c>
      <c r="AK260" s="108"/>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31" customFormat="1" ht="31" x14ac:dyDescent="0.3">
      <c r="B261" s="170" t="s">
        <v>550</v>
      </c>
      <c r="C261" s="392" t="s">
        <v>86</v>
      </c>
      <c r="D261" s="393"/>
      <c r="E261" s="393"/>
      <c r="F261" s="393"/>
      <c r="G261" s="394"/>
      <c r="J261" s="33" t="s">
        <v>442</v>
      </c>
      <c r="K261" s="96">
        <f ca="1">IF(ISNUMBER(L261),L261,IF($C$100="Ei","",IF(AND($C$100="Kyllä",OR(C261=Pudotusvalikot!$D$14,C261=Pudotusvalikot!$D$15)),Kalusto!$G$97,OFFSET(Kalusto!$G$85,AH260+AJ260+AI260,0,1,1)))*IF(OR(C262=Pudotusvalikot!$V$3,C262=Pudotusvalikot!$V$4),Muut!$E$38,IF(C262=Pudotusvalikot!$V$5,Muut!$E$39,IF(C262=Pudotusvalikot!$V$6,Muut!$E$40,Muut!$E$41))))</f>
        <v>0.71940999999999999</v>
      </c>
      <c r="L261" s="40"/>
      <c r="M261" s="41" t="s">
        <v>204</v>
      </c>
      <c r="N261" s="41"/>
      <c r="O261" s="265"/>
      <c r="P261" s="34"/>
      <c r="Q261" s="52"/>
      <c r="R261" s="36"/>
      <c r="S261" s="36"/>
      <c r="T261" s="36"/>
      <c r="U261" s="36"/>
      <c r="V261" s="36"/>
      <c r="W261" s="36"/>
      <c r="X261" s="36"/>
      <c r="Y261" s="36"/>
      <c r="Z261" s="36"/>
      <c r="AA261" s="36"/>
      <c r="AB261" s="36"/>
      <c r="AC261" s="36"/>
      <c r="AD261" s="36"/>
      <c r="AE261" s="36"/>
      <c r="AF261" s="36"/>
      <c r="AG261" s="36"/>
      <c r="AH261" s="36"/>
      <c r="AI261" s="36"/>
      <c r="AJ261" s="36"/>
      <c r="AK261" s="108"/>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15.5" x14ac:dyDescent="0.3">
      <c r="B262" s="186" t="s">
        <v>506</v>
      </c>
      <c r="C262" s="160" t="s">
        <v>242</v>
      </c>
      <c r="D262" s="34"/>
      <c r="E262" s="34"/>
      <c r="F262" s="34"/>
      <c r="G262" s="34"/>
      <c r="H262" s="59"/>
      <c r="J262" s="173"/>
      <c r="K262" s="173"/>
      <c r="L262" s="173"/>
      <c r="M262" s="41"/>
      <c r="N262" s="41"/>
      <c r="O262" s="265"/>
      <c r="Q262" s="47"/>
      <c r="R262" s="102"/>
      <c r="S262" s="102"/>
      <c r="T262" s="36"/>
      <c r="U262" s="36"/>
      <c r="V262" s="181"/>
      <c r="W262" s="181"/>
      <c r="X262" s="61"/>
      <c r="Y262" s="36"/>
      <c r="Z262" s="61"/>
      <c r="AA262" s="182"/>
      <c r="AB262" s="61"/>
      <c r="AC262" s="61"/>
      <c r="AD262" s="61"/>
      <c r="AE262" s="61"/>
      <c r="AF262" s="182"/>
      <c r="AG262" s="61"/>
      <c r="AH262" s="36"/>
      <c r="AI262" s="36"/>
      <c r="AJ262" s="36"/>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15.5" x14ac:dyDescent="0.3">
      <c r="B263" s="45" t="s">
        <v>549</v>
      </c>
      <c r="C263" s="160"/>
      <c r="D263" s="84" t="s">
        <v>5</v>
      </c>
      <c r="G263" s="34"/>
      <c r="H263" s="54"/>
      <c r="I263" s="53"/>
      <c r="J263" s="53"/>
      <c r="K263" s="34"/>
      <c r="L263" s="34"/>
      <c r="M263" s="84"/>
      <c r="N263" s="84"/>
      <c r="O263" s="100"/>
      <c r="P263" s="53"/>
      <c r="Q263" s="52"/>
      <c r="R263" s="36"/>
      <c r="S263" s="36"/>
      <c r="T263" s="36"/>
      <c r="U263" s="36"/>
      <c r="V263" s="36"/>
      <c r="W263" s="36"/>
      <c r="X263" s="36"/>
      <c r="Y263" s="36"/>
      <c r="Z263" s="36"/>
      <c r="AA263" s="36"/>
      <c r="AB263" s="36"/>
      <c r="AC263" s="36"/>
      <c r="AD263" s="36"/>
      <c r="AE263" s="36"/>
      <c r="AF263" s="36"/>
      <c r="AG263" s="36"/>
      <c r="AH263" s="36"/>
      <c r="AI263" s="36"/>
      <c r="AJ263" s="36"/>
      <c r="AK263" s="108"/>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15.5" x14ac:dyDescent="0.3">
      <c r="B264" s="155" t="s">
        <v>1</v>
      </c>
      <c r="C264" s="34"/>
      <c r="D264" s="84"/>
      <c r="E264" s="34"/>
      <c r="F264" s="34"/>
      <c r="G264" s="38"/>
      <c r="H264" s="84"/>
      <c r="J264" s="33"/>
      <c r="K264" s="38" t="s">
        <v>329</v>
      </c>
      <c r="L264" s="38" t="s">
        <v>201</v>
      </c>
      <c r="M264" s="84"/>
      <c r="N264" s="84"/>
      <c r="O264" s="100"/>
      <c r="P264" s="34"/>
      <c r="Q264" s="35"/>
      <c r="R264" s="36" t="s">
        <v>350</v>
      </c>
      <c r="S264" s="36"/>
      <c r="T264" s="36" t="s">
        <v>446</v>
      </c>
      <c r="U264" s="36" t="s">
        <v>445</v>
      </c>
      <c r="V264" s="36" t="s">
        <v>443</v>
      </c>
      <c r="W264" s="36" t="s">
        <v>444</v>
      </c>
      <c r="X264" s="36" t="s">
        <v>447</v>
      </c>
      <c r="Y264" s="36" t="s">
        <v>449</v>
      </c>
      <c r="Z264" s="36" t="s">
        <v>448</v>
      </c>
      <c r="AA264" s="36" t="s">
        <v>202</v>
      </c>
      <c r="AB264" s="36" t="s">
        <v>380</v>
      </c>
      <c r="AC264" s="36" t="s">
        <v>450</v>
      </c>
      <c r="AD264" s="36" t="s">
        <v>381</v>
      </c>
      <c r="AE264" s="36" t="s">
        <v>451</v>
      </c>
      <c r="AF264" s="36" t="s">
        <v>452</v>
      </c>
      <c r="AG264" s="36" t="s">
        <v>638</v>
      </c>
      <c r="AH264" s="36" t="s">
        <v>206</v>
      </c>
      <c r="AI264" s="36" t="s">
        <v>278</v>
      </c>
      <c r="AJ264" s="36" t="s">
        <v>207</v>
      </c>
      <c r="AK264" s="108"/>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46.5" x14ac:dyDescent="0.3">
      <c r="B265" s="170" t="s">
        <v>553</v>
      </c>
      <c r="C265" s="160"/>
      <c r="D265" s="89" t="s">
        <v>52</v>
      </c>
      <c r="E265" s="59"/>
      <c r="F265" s="57"/>
      <c r="G265" s="161"/>
      <c r="H265" s="84" t="str">
        <f>IF(D265="t","","t/m3")</f>
        <v/>
      </c>
      <c r="J265" s="173" t="s">
        <v>441</v>
      </c>
      <c r="K265" s="96">
        <f>IF(ISNUMBER(L265),L265,IF(OR(C266=Pudotusvalikot!$D$14,C266=Pudotusvalikot!$D$15),Kalusto!$G$96,VLOOKUP(C266,Kalusto!$C$44:$G$83,5,FALSE))*IF(OR(C267=Pudotusvalikot!$V$3,C267=Pudotusvalikot!$V$4),Muut!$E$38,IF(C267=Pudotusvalikot!$V$5,Muut!$E$39,IF(C267=Pudotusvalikot!$V$6,Muut!$E$40,Muut!$E$41))))</f>
        <v>5.7709999999999997E-2</v>
      </c>
      <c r="L265" s="40"/>
      <c r="M265" s="41" t="s">
        <v>200</v>
      </c>
      <c r="N265" s="41"/>
      <c r="O265" s="265"/>
      <c r="Q265" s="47"/>
      <c r="R265" s="50" t="str">
        <f ca="1">IF(AND(NOT(ISNUMBER(AB265)),NOT(ISNUMBER(AG265))),"",IF(ISNUMBER(AB265),AB265,0)+IF(ISNUMBER(AG265),AG265,0))</f>
        <v/>
      </c>
      <c r="S265" s="102" t="s">
        <v>172</v>
      </c>
      <c r="T265" s="48" t="str">
        <f>IF(ISNUMBER(L265),"Kohdetieto",IF(OR(C266=Pudotusvalikot!$D$14,C266=Pudotusvalikot!$D$15),Kalusto!$I$96,VLOOKUP(C266,Kalusto!$C$44:$L$83,7,FALSE)))</f>
        <v>Maansiirtoauto</v>
      </c>
      <c r="U265" s="48">
        <f>IF(ISNUMBER(L265),"Kohdetieto",IF(OR(C266=Pudotusvalikot!$D$14,C266=Pudotusvalikot!$D$15),Kalusto!$J$96,VLOOKUP(C266,Kalusto!$C$44:$L$83,8,FALSE)))</f>
        <v>32</v>
      </c>
      <c r="V265" s="49">
        <f>IF(ISNUMBER(L265),"Kohdetieto",IF(OR(C266=Pudotusvalikot!$D$14,C266=Pudotusvalikot!$D$15),Kalusto!$K$96,VLOOKUP(C266,Kalusto!$C$44:$L$83,9,FALSE)))</f>
        <v>0.8</v>
      </c>
      <c r="W265" s="49" t="str">
        <f>IF(ISNUMBER(L265),"Kohdetieto",IF(OR(C266=Pudotusvalikot!$D$14,C266=Pudotusvalikot!$D$15),Kalusto!$L$96,VLOOKUP(C266,Kalusto!$C$44:$L$83,10,FALSE)))</f>
        <v>maantieajo</v>
      </c>
      <c r="X265" s="50" t="str">
        <f>IF(ISBLANK(C265),"",IF(D265="t",C265,C265*G265))</f>
        <v/>
      </c>
      <c r="Y265" s="48" t="str">
        <f>IF(ISNUMBER(C268),C268,"")</f>
        <v/>
      </c>
      <c r="Z265" s="50" t="str">
        <f>IF(ISNUMBER(X265/(U265*V265)*Y265),X265/(U265*V265)*Y265,"")</f>
        <v/>
      </c>
      <c r="AA265" s="51">
        <f>IF(ISNUMBER(L265),L265,K265)</f>
        <v>5.7709999999999997E-2</v>
      </c>
      <c r="AB265" s="50" t="str">
        <f>IF(ISNUMBER(Y265*X265*K265),Y265*X265*K265,"")</f>
        <v/>
      </c>
      <c r="AC265" s="50" t="str">
        <f>IF(ISNUMBER(Y265),Y265,"")</f>
        <v/>
      </c>
      <c r="AD265" s="50" t="str">
        <f>IF(ISNUMBER(X265),IF(ISNUMBER(X265/(U265*V265)),CEILING(X265/(U265*V265),1),""),"")</f>
        <v/>
      </c>
      <c r="AE265" s="50" t="str">
        <f>IF(ISNUMBER(AD265*AC265),AD265*AC265,"")</f>
        <v/>
      </c>
      <c r="AF265" s="51">
        <f ca="1">IF(ISNUMBER(L266),L266,K266)</f>
        <v>0.71940999999999999</v>
      </c>
      <c r="AG265" s="50" t="str">
        <f ca="1">IF(ISNUMBER(AC265*AD265*K266),AC265*AD265*K266,"")</f>
        <v/>
      </c>
      <c r="AH265" s="48">
        <f>IF(T265="Jakelukuorma-auto",0,IF(T265="Maansiirtoauto",4,IF(T265="Puoliperävaunu",6,8)))</f>
        <v>4</v>
      </c>
      <c r="AI265" s="48">
        <f>IF(AND(T265="Jakelukuorma-auto",U265=6),0,IF(AND(T265="Jakelukuorma-auto",U265=15),2,0))</f>
        <v>0</v>
      </c>
      <c r="AJ265" s="48">
        <f>IF(W265="maantieajo",0,1)</f>
        <v>0</v>
      </c>
      <c r="AK265" s="108"/>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31" x14ac:dyDescent="0.3">
      <c r="B266" s="170" t="s">
        <v>550</v>
      </c>
      <c r="C266" s="392" t="s">
        <v>330</v>
      </c>
      <c r="D266" s="393"/>
      <c r="E266" s="393"/>
      <c r="F266" s="393"/>
      <c r="G266" s="394"/>
      <c r="H266" s="31" t="s">
        <v>203</v>
      </c>
      <c r="J266" s="33" t="s">
        <v>442</v>
      </c>
      <c r="K266" s="96">
        <f ca="1">IF(ISNUMBER(L266),L266,IF($C$100="Ei","",IF(AND($C$100="Kyllä",OR(C266=Pudotusvalikot!$D$14,C266=Pudotusvalikot!$D$15)),Kalusto!$G$97,OFFSET(Kalusto!$G$85,AH265+AJ265+AI265,0,1,1)))*IF(OR(C267=Pudotusvalikot!$V$3,C267=Pudotusvalikot!$V$4),Muut!$E$38,IF(C267=Pudotusvalikot!$V$5,Muut!$E$39,IF(C267=Pudotusvalikot!$V$6,Muut!$E$40,Muut!$E$41))))</f>
        <v>0.71940999999999999</v>
      </c>
      <c r="L266" s="40"/>
      <c r="M266" s="41" t="s">
        <v>204</v>
      </c>
      <c r="N266" s="41"/>
      <c r="O266" s="265"/>
      <c r="P266" s="34"/>
      <c r="Q266" s="52"/>
      <c r="R266" s="36"/>
      <c r="S266" s="36"/>
      <c r="T266" s="36"/>
      <c r="U266" s="36"/>
      <c r="V266" s="36"/>
      <c r="W266" s="36"/>
      <c r="X266" s="36"/>
      <c r="Y266" s="36"/>
      <c r="Z266" s="36"/>
      <c r="AA266" s="36"/>
      <c r="AB266" s="36"/>
      <c r="AC266" s="36"/>
      <c r="AD266" s="36"/>
      <c r="AE266" s="36"/>
      <c r="AF266" s="36"/>
      <c r="AG266" s="36"/>
      <c r="AH266" s="36"/>
      <c r="AI266" s="36"/>
      <c r="AJ266" s="36"/>
      <c r="AK266" s="108"/>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31" customFormat="1" ht="15.5" x14ac:dyDescent="0.3">
      <c r="B267" s="186" t="s">
        <v>506</v>
      </c>
      <c r="C267" s="160" t="s">
        <v>242</v>
      </c>
      <c r="D267" s="34"/>
      <c r="E267" s="34"/>
      <c r="F267" s="34"/>
      <c r="G267" s="34"/>
      <c r="H267" s="59"/>
      <c r="J267" s="173"/>
      <c r="K267" s="173"/>
      <c r="L267" s="173"/>
      <c r="M267" s="41"/>
      <c r="N267" s="41"/>
      <c r="O267" s="265"/>
      <c r="Q267" s="47"/>
      <c r="R267" s="102"/>
      <c r="S267" s="102"/>
      <c r="T267" s="36"/>
      <c r="U267" s="36"/>
      <c r="V267" s="181"/>
      <c r="W267" s="181"/>
      <c r="X267" s="61"/>
      <c r="Y267" s="36"/>
      <c r="Z267" s="61"/>
      <c r="AA267" s="182"/>
      <c r="AB267" s="61"/>
      <c r="AC267" s="61"/>
      <c r="AD267" s="61"/>
      <c r="AE267" s="61"/>
      <c r="AF267" s="182"/>
      <c r="AG267" s="61"/>
      <c r="AH267" s="36"/>
      <c r="AI267" s="36"/>
      <c r="AJ267" s="36"/>
      <c r="AK267" s="108"/>
      <c r="AL267" s="36"/>
      <c r="AM267" s="36"/>
      <c r="AN267" s="37"/>
      <c r="AO267" s="37"/>
      <c r="AP267" s="37"/>
      <c r="AQ267" s="37"/>
      <c r="AR267" s="37"/>
      <c r="AS267" s="37"/>
      <c r="AT267" s="37"/>
      <c r="AU267" s="37"/>
      <c r="AV267" s="37"/>
      <c r="AW267" s="37"/>
      <c r="AX267" s="37"/>
      <c r="AY267" s="37"/>
      <c r="AZ267" s="37"/>
      <c r="BA267" s="37"/>
      <c r="BB267" s="37"/>
      <c r="BC267" s="37"/>
      <c r="BD267" s="37"/>
      <c r="BE267" s="37"/>
    </row>
    <row r="268" spans="2:57" s="31" customFormat="1" ht="15.5" x14ac:dyDescent="0.3">
      <c r="B268" s="45" t="s">
        <v>549</v>
      </c>
      <c r="C268" s="160"/>
      <c r="D268" s="84" t="s">
        <v>5</v>
      </c>
      <c r="G268" s="34"/>
      <c r="H268" s="54"/>
      <c r="I268" s="53"/>
      <c r="J268" s="53"/>
      <c r="K268" s="34"/>
      <c r="L268" s="34"/>
      <c r="M268" s="84"/>
      <c r="N268" s="84"/>
      <c r="O268" s="100"/>
      <c r="P268" s="53"/>
      <c r="Q268" s="52"/>
      <c r="R268" s="36"/>
      <c r="S268" s="36"/>
      <c r="T268" s="36"/>
      <c r="U268" s="36"/>
      <c r="V268" s="36"/>
      <c r="W268" s="36"/>
      <c r="X268" s="36"/>
      <c r="Y268" s="36"/>
      <c r="Z268" s="36"/>
      <c r="AA268" s="36"/>
      <c r="AB268" s="36"/>
      <c r="AC268" s="36"/>
      <c r="AD268" s="36"/>
      <c r="AE268" s="36"/>
      <c r="AF268" s="36"/>
      <c r="AG268" s="36"/>
      <c r="AH268" s="36"/>
      <c r="AI268" s="36"/>
      <c r="AJ268" s="36"/>
      <c r="AK268" s="108"/>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15.5" x14ac:dyDescent="0.3">
      <c r="B269" s="155" t="s">
        <v>2</v>
      </c>
      <c r="C269" s="34"/>
      <c r="D269" s="84"/>
      <c r="E269" s="34"/>
      <c r="F269" s="34"/>
      <c r="G269" s="38"/>
      <c r="H269" s="84"/>
      <c r="J269" s="33"/>
      <c r="K269" s="38" t="s">
        <v>329</v>
      </c>
      <c r="L269" s="38" t="s">
        <v>201</v>
      </c>
      <c r="M269" s="84"/>
      <c r="N269" s="84"/>
      <c r="O269" s="100"/>
      <c r="P269" s="34"/>
      <c r="Q269" s="35"/>
      <c r="R269" s="36" t="s">
        <v>350</v>
      </c>
      <c r="S269" s="36"/>
      <c r="T269" s="36" t="s">
        <v>446</v>
      </c>
      <c r="U269" s="36" t="s">
        <v>445</v>
      </c>
      <c r="V269" s="36" t="s">
        <v>443</v>
      </c>
      <c r="W269" s="36" t="s">
        <v>444</v>
      </c>
      <c r="X269" s="36" t="s">
        <v>447</v>
      </c>
      <c r="Y269" s="36" t="s">
        <v>449</v>
      </c>
      <c r="Z269" s="36" t="s">
        <v>448</v>
      </c>
      <c r="AA269" s="36" t="s">
        <v>202</v>
      </c>
      <c r="AB269" s="36" t="s">
        <v>380</v>
      </c>
      <c r="AC269" s="36" t="s">
        <v>450</v>
      </c>
      <c r="AD269" s="36" t="s">
        <v>381</v>
      </c>
      <c r="AE269" s="36" t="s">
        <v>451</v>
      </c>
      <c r="AF269" s="36" t="s">
        <v>452</v>
      </c>
      <c r="AG269" s="36" t="s">
        <v>638</v>
      </c>
      <c r="AH269" s="36" t="s">
        <v>206</v>
      </c>
      <c r="AI269" s="36" t="s">
        <v>278</v>
      </c>
      <c r="AJ269" s="36" t="s">
        <v>207</v>
      </c>
      <c r="AK269" s="108"/>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46.5" x14ac:dyDescent="0.3">
      <c r="B270" s="170" t="s">
        <v>553</v>
      </c>
      <c r="C270" s="160"/>
      <c r="D270" s="89" t="s">
        <v>52</v>
      </c>
      <c r="E270" s="59"/>
      <c r="F270" s="57"/>
      <c r="G270" s="161"/>
      <c r="H270" s="84" t="str">
        <f>IF(D270="t","","t/m3")</f>
        <v/>
      </c>
      <c r="J270" s="173" t="s">
        <v>441</v>
      </c>
      <c r="K270" s="96">
        <f>IF(ISNUMBER(L270),L270,IF(OR(C271=Pudotusvalikot!$D$14,C271=Pudotusvalikot!$D$15),Kalusto!$G$96,VLOOKUP(C271,Kalusto!$C$44:$G$83,5,FALSE))*IF(OR(C272=Pudotusvalikot!$V$3,C272=Pudotusvalikot!$V$4),Muut!$E$38,IF(C272=Pudotusvalikot!$V$5,Muut!$E$39,IF(C272=Pudotusvalikot!$V$6,Muut!$E$40,Muut!$E$41))))</f>
        <v>5.7709999999999997E-2</v>
      </c>
      <c r="L270" s="40"/>
      <c r="M270" s="41" t="s">
        <v>200</v>
      </c>
      <c r="N270" s="41"/>
      <c r="O270" s="265"/>
      <c r="Q270" s="47"/>
      <c r="R270" s="50" t="str">
        <f ca="1">IF(AND(NOT(ISNUMBER(AB270)),NOT(ISNUMBER(AG270))),"",IF(ISNUMBER(AB270),AB270,0)+IF(ISNUMBER(AG270),AG270,0))</f>
        <v/>
      </c>
      <c r="S270" s="102" t="s">
        <v>172</v>
      </c>
      <c r="T270" s="48" t="str">
        <f>IF(ISNUMBER(L270),"Kohdetieto",IF(OR(C271=Pudotusvalikot!$D$14,C271=Pudotusvalikot!$D$15),Kalusto!$I$96,VLOOKUP(C271,Kalusto!$C$44:$L$83,7,FALSE)))</f>
        <v>Maansiirtoauto</v>
      </c>
      <c r="U270" s="48">
        <f>IF(ISNUMBER(L270),"Kohdetieto",IF(OR(C271=Pudotusvalikot!$D$14,C271=Pudotusvalikot!$D$15),Kalusto!$J$96,VLOOKUP(C271,Kalusto!$C$44:$L$83,8,FALSE)))</f>
        <v>32</v>
      </c>
      <c r="V270" s="49">
        <f>IF(ISNUMBER(L270),"Kohdetieto",IF(OR(C271=Pudotusvalikot!$D$14,C271=Pudotusvalikot!$D$15),Kalusto!$K$96,VLOOKUP(C271,Kalusto!$C$44:$L$83,9,FALSE)))</f>
        <v>0.8</v>
      </c>
      <c r="W270" s="49" t="str">
        <f>IF(ISNUMBER(L270),"Kohdetieto",IF(OR(C271=Pudotusvalikot!$D$14,C271=Pudotusvalikot!$D$15),Kalusto!$L$96,VLOOKUP(C271,Kalusto!$C$44:$L$83,10,FALSE)))</f>
        <v>maantieajo</v>
      </c>
      <c r="X270" s="50" t="str">
        <f>IF(ISBLANK(C270),"",IF(D270="t",C270,C270*G270))</f>
        <v/>
      </c>
      <c r="Y270" s="48" t="str">
        <f>IF(ISNUMBER(C273),C273,"")</f>
        <v/>
      </c>
      <c r="Z270" s="50" t="str">
        <f>IF(ISNUMBER(X270/(U270*V270)*Y270),X270/(U270*V270)*Y270,"")</f>
        <v/>
      </c>
      <c r="AA270" s="51">
        <f>IF(ISNUMBER(L270),L270,K270)</f>
        <v>5.7709999999999997E-2</v>
      </c>
      <c r="AB270" s="50" t="str">
        <f>IF(ISNUMBER(Y270*X270*K270),Y270*X270*K270,"")</f>
        <v/>
      </c>
      <c r="AC270" s="50" t="str">
        <f>IF(ISNUMBER(Y270),Y270,"")</f>
        <v/>
      </c>
      <c r="AD270" s="50" t="str">
        <f>IF(ISNUMBER(X270),IF(ISNUMBER(X270/(U270*V270)),CEILING(X270/(U270*V270),1),""),"")</f>
        <v/>
      </c>
      <c r="AE270" s="50" t="str">
        <f>IF(ISNUMBER(AD270*AC270),AD270*AC270,"")</f>
        <v/>
      </c>
      <c r="AF270" s="51">
        <f ca="1">IF(ISNUMBER(L271),L271,K271)</f>
        <v>0.71940999999999999</v>
      </c>
      <c r="AG270" s="50" t="str">
        <f ca="1">IF(ISNUMBER(AC270*AD270*K271),AC270*AD270*K271,"")</f>
        <v/>
      </c>
      <c r="AH270" s="48">
        <f>IF(T270="Jakelukuorma-auto",0,IF(T270="Maansiirtoauto",4,IF(T270="Puoliperävaunu",6,8)))</f>
        <v>4</v>
      </c>
      <c r="AI270" s="48">
        <f>IF(AND(T270="Jakelukuorma-auto",U270=6),0,IF(AND(T270="Jakelukuorma-auto",U270=15),2,0))</f>
        <v>0</v>
      </c>
      <c r="AJ270" s="48">
        <f>IF(W270="maantieajo",0,1)</f>
        <v>0</v>
      </c>
      <c r="AK270" s="108"/>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31" x14ac:dyDescent="0.3">
      <c r="B271" s="170" t="s">
        <v>550</v>
      </c>
      <c r="C271" s="392" t="s">
        <v>330</v>
      </c>
      <c r="D271" s="393"/>
      <c r="E271" s="393"/>
      <c r="F271" s="393"/>
      <c r="G271" s="394"/>
      <c r="J271" s="33" t="s">
        <v>442</v>
      </c>
      <c r="K271" s="96">
        <f ca="1">IF(ISNUMBER(L271),L271,IF($C$100="Ei","",IF(AND($C$100="Kyllä",OR(C271=Pudotusvalikot!$D$14,C271=Pudotusvalikot!$D$15)),Kalusto!$G$97,OFFSET(Kalusto!$G$85,AH270+AJ270+AI270,0,1,1)))*IF(OR(C272=Pudotusvalikot!$V$3,C272=Pudotusvalikot!$V$4),Muut!$E$38,IF(C272=Pudotusvalikot!$V$5,Muut!$E$39,IF(C272=Pudotusvalikot!$V$6,Muut!$E$40,Muut!$E$41))))</f>
        <v>0.71940999999999999</v>
      </c>
      <c r="L271" s="40"/>
      <c r="M271" s="41" t="s">
        <v>204</v>
      </c>
      <c r="N271" s="41"/>
      <c r="O271" s="265"/>
      <c r="P271" s="34"/>
      <c r="Q271" s="52"/>
      <c r="R271" s="36"/>
      <c r="S271" s="36"/>
      <c r="T271" s="36"/>
      <c r="U271" s="36"/>
      <c r="V271" s="36"/>
      <c r="W271" s="36"/>
      <c r="X271" s="36"/>
      <c r="Y271" s="36"/>
      <c r="Z271" s="36"/>
      <c r="AA271" s="36"/>
      <c r="AB271" s="36"/>
      <c r="AC271" s="36"/>
      <c r="AD271" s="36"/>
      <c r="AE271" s="36"/>
      <c r="AF271" s="36"/>
      <c r="AG271" s="36"/>
      <c r="AH271" s="36"/>
      <c r="AI271" s="36"/>
      <c r="AJ271" s="36"/>
      <c r="AK271" s="108"/>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5" x14ac:dyDescent="0.3">
      <c r="B272" s="186" t="s">
        <v>506</v>
      </c>
      <c r="C272" s="160" t="s">
        <v>242</v>
      </c>
      <c r="D272" s="34"/>
      <c r="E272" s="34"/>
      <c r="F272" s="34"/>
      <c r="G272" s="34"/>
      <c r="H272" s="59"/>
      <c r="J272" s="173"/>
      <c r="K272" s="173"/>
      <c r="L272" s="173"/>
      <c r="M272" s="41"/>
      <c r="N272" s="41"/>
      <c r="O272" s="265"/>
      <c r="Q272" s="47"/>
      <c r="R272" s="102"/>
      <c r="S272" s="102"/>
      <c r="T272" s="36"/>
      <c r="U272" s="36"/>
      <c r="V272" s="181"/>
      <c r="W272" s="181"/>
      <c r="X272" s="61"/>
      <c r="Y272" s="36"/>
      <c r="Z272" s="61"/>
      <c r="AA272" s="182"/>
      <c r="AB272" s="61"/>
      <c r="AC272" s="61"/>
      <c r="AD272" s="61"/>
      <c r="AE272" s="61"/>
      <c r="AF272" s="182"/>
      <c r="AG272" s="61"/>
      <c r="AH272" s="36"/>
      <c r="AI272" s="36"/>
      <c r="AJ272" s="36"/>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9" s="31" customFormat="1" ht="15.5" x14ac:dyDescent="0.3">
      <c r="B273" s="45" t="s">
        <v>549</v>
      </c>
      <c r="C273" s="160"/>
      <c r="D273" s="84" t="s">
        <v>5</v>
      </c>
      <c r="G273" s="34"/>
      <c r="H273" s="84"/>
      <c r="I273" s="53"/>
      <c r="J273" s="53"/>
      <c r="K273" s="34"/>
      <c r="L273" s="34"/>
      <c r="M273" s="84"/>
      <c r="N273" s="84"/>
      <c r="O273" s="100"/>
      <c r="P273" s="53"/>
      <c r="Q273" s="52"/>
      <c r="R273" s="36"/>
      <c r="S273" s="36"/>
      <c r="T273" s="36"/>
      <c r="U273" s="36"/>
      <c r="V273" s="36"/>
      <c r="W273" s="36"/>
      <c r="X273" s="36"/>
      <c r="Y273" s="36"/>
      <c r="Z273" s="36"/>
      <c r="AA273" s="36"/>
      <c r="AB273" s="36"/>
      <c r="AC273" s="36"/>
      <c r="AD273" s="36"/>
      <c r="AE273" s="36"/>
      <c r="AF273" s="36"/>
      <c r="AG273" s="36"/>
      <c r="AH273" s="36"/>
      <c r="AI273" s="36"/>
      <c r="AJ273" s="36"/>
      <c r="AK273" s="108"/>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9" s="31" customFormat="1" ht="15.5" x14ac:dyDescent="0.3">
      <c r="B274" s="155" t="s">
        <v>3</v>
      </c>
      <c r="C274" s="34"/>
      <c r="D274" s="84"/>
      <c r="E274" s="34"/>
      <c r="F274" s="34"/>
      <c r="G274" s="38"/>
      <c r="H274" s="84"/>
      <c r="J274" s="33"/>
      <c r="K274" s="38" t="s">
        <v>329</v>
      </c>
      <c r="L274" s="38" t="s">
        <v>201</v>
      </c>
      <c r="M274" s="84"/>
      <c r="N274" s="84"/>
      <c r="O274" s="100"/>
      <c r="P274" s="34"/>
      <c r="Q274" s="35"/>
      <c r="R274" s="36" t="s">
        <v>350</v>
      </c>
      <c r="S274" s="36"/>
      <c r="T274" s="36" t="s">
        <v>446</v>
      </c>
      <c r="U274" s="36" t="s">
        <v>445</v>
      </c>
      <c r="V274" s="36" t="s">
        <v>443</v>
      </c>
      <c r="W274" s="36" t="s">
        <v>444</v>
      </c>
      <c r="X274" s="36" t="s">
        <v>447</v>
      </c>
      <c r="Y274" s="36" t="s">
        <v>449</v>
      </c>
      <c r="Z274" s="36" t="s">
        <v>448</v>
      </c>
      <c r="AA274" s="36" t="s">
        <v>202</v>
      </c>
      <c r="AB274" s="36" t="s">
        <v>380</v>
      </c>
      <c r="AC274" s="36" t="s">
        <v>450</v>
      </c>
      <c r="AD274" s="36" t="s">
        <v>381</v>
      </c>
      <c r="AE274" s="36" t="s">
        <v>451</v>
      </c>
      <c r="AF274" s="36" t="s">
        <v>452</v>
      </c>
      <c r="AG274" s="36" t="s">
        <v>638</v>
      </c>
      <c r="AH274" s="36" t="s">
        <v>206</v>
      </c>
      <c r="AI274" s="36" t="s">
        <v>278</v>
      </c>
      <c r="AJ274" s="36" t="s">
        <v>207</v>
      </c>
      <c r="AK274" s="108"/>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9" s="31" customFormat="1" ht="46.5" x14ac:dyDescent="0.3">
      <c r="B275" s="170" t="s">
        <v>553</v>
      </c>
      <c r="C275" s="160"/>
      <c r="D275" s="89" t="s">
        <v>52</v>
      </c>
      <c r="E275" s="59"/>
      <c r="F275" s="57"/>
      <c r="G275" s="161"/>
      <c r="H275" s="84" t="str">
        <f>IF(D275="t","","t/m3")</f>
        <v/>
      </c>
      <c r="J275" s="173" t="s">
        <v>441</v>
      </c>
      <c r="K275" s="96">
        <f>IF(ISNUMBER(L275),L275,IF(OR(C276=Pudotusvalikot!$D$14,C276=Pudotusvalikot!$D$15),Kalusto!$G$96,VLOOKUP(C276,Kalusto!$C$44:$G$83,5,FALSE))*IF(OR(C277=Pudotusvalikot!$V$3,C277=Pudotusvalikot!$V$4),Muut!$E$38,IF(C277=Pudotusvalikot!$V$5,Muut!$E$39,IF(C277=Pudotusvalikot!$V$6,Muut!$E$40,Muut!$E$41))))</f>
        <v>5.7709999999999997E-2</v>
      </c>
      <c r="L275" s="40"/>
      <c r="M275" s="41" t="s">
        <v>200</v>
      </c>
      <c r="N275" s="41"/>
      <c r="O275" s="265"/>
      <c r="Q275" s="47"/>
      <c r="R275" s="50" t="str">
        <f ca="1">IF(AND(NOT(ISNUMBER(AB275)),NOT(ISNUMBER(AG275))),"",IF(ISNUMBER(AB275),AB275,0)+IF(ISNUMBER(AG275),AG275,0))</f>
        <v/>
      </c>
      <c r="S275" s="102" t="s">
        <v>172</v>
      </c>
      <c r="T275" s="48" t="str">
        <f>IF(ISNUMBER(L275),"Kohdetieto",IF(OR(C276=Pudotusvalikot!$D$14,C276=Pudotusvalikot!$D$15),Kalusto!$I$96,VLOOKUP(C276,Kalusto!$C$44:$L$83,7,FALSE)))</f>
        <v>Maansiirtoauto</v>
      </c>
      <c r="U275" s="48">
        <f>IF(ISNUMBER(L275),"Kohdetieto",IF(OR(C276=Pudotusvalikot!$D$14,C276=Pudotusvalikot!$D$15),Kalusto!$J$96,VLOOKUP(C276,Kalusto!$C$44:$L$83,8,FALSE)))</f>
        <v>32</v>
      </c>
      <c r="V275" s="49">
        <f>IF(ISNUMBER(L275),"Kohdetieto",IF(OR(C276=Pudotusvalikot!$D$14,C276=Pudotusvalikot!$D$15),Kalusto!$K$96,VLOOKUP(C276,Kalusto!$C$44:$L$83,9,FALSE)))</f>
        <v>0.8</v>
      </c>
      <c r="W275" s="49" t="str">
        <f>IF(ISNUMBER(L275),"Kohdetieto",IF(OR(C276=Pudotusvalikot!$D$14,C276=Pudotusvalikot!$D$15),Kalusto!$L$96,VLOOKUP(C276,Kalusto!$C$44:$L$83,10,FALSE)))</f>
        <v>maantieajo</v>
      </c>
      <c r="X275" s="50" t="str">
        <f>IF(ISBLANK(C275),"",IF(D275="t",C275,C275*G275))</f>
        <v/>
      </c>
      <c r="Y275" s="48" t="str">
        <f>IF(ISNUMBER(C278),C278,"")</f>
        <v/>
      </c>
      <c r="Z275" s="50" t="str">
        <f>IF(ISNUMBER(X275/(U275*V275)*Y275),X275/(U275*V275)*Y275,"")</f>
        <v/>
      </c>
      <c r="AA275" s="51">
        <f>IF(ISNUMBER(L275),L275,K275)</f>
        <v>5.7709999999999997E-2</v>
      </c>
      <c r="AB275" s="50" t="str">
        <f>IF(ISNUMBER(Y275*X275*K275),Y275*X275*K275,"")</f>
        <v/>
      </c>
      <c r="AC275" s="50" t="str">
        <f>IF(ISNUMBER(Y275),Y275,"")</f>
        <v/>
      </c>
      <c r="AD275" s="50" t="str">
        <f>IF(ISNUMBER(X275),IF(ISNUMBER(X275/(U275*V275)),CEILING(X275/(U275*V275),1),""),"")</f>
        <v/>
      </c>
      <c r="AE275" s="50" t="str">
        <f>IF(ISNUMBER(AD275*AC275),AD275*AC275,"")</f>
        <v/>
      </c>
      <c r="AF275" s="51">
        <f ca="1">IF(ISNUMBER(L276),L276,K276)</f>
        <v>0.71940999999999999</v>
      </c>
      <c r="AG275" s="50" t="str">
        <f ca="1">IF(ISNUMBER(AC275*AD275*K276),AC275*AD275*K276,"")</f>
        <v/>
      </c>
      <c r="AH275" s="48">
        <f>IF(T275="Jakelukuorma-auto",0,IF(T275="Maansiirtoauto",4,IF(T275="Puoliperävaunu",6,8)))</f>
        <v>4</v>
      </c>
      <c r="AI275" s="48">
        <f>IF(AND(T275="Jakelukuorma-auto",U275=6),0,IF(AND(T275="Jakelukuorma-auto",U275=15),2,0))</f>
        <v>0</v>
      </c>
      <c r="AJ275" s="48">
        <f>IF(W275="maantieajo",0,1)</f>
        <v>0</v>
      </c>
      <c r="AK275" s="108"/>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9" s="31" customFormat="1" ht="31" x14ac:dyDescent="0.3">
      <c r="B276" s="170" t="s">
        <v>550</v>
      </c>
      <c r="C276" s="392" t="s">
        <v>330</v>
      </c>
      <c r="D276" s="393"/>
      <c r="E276" s="393"/>
      <c r="F276" s="393"/>
      <c r="G276" s="394"/>
      <c r="J276" s="33" t="s">
        <v>442</v>
      </c>
      <c r="K276" s="96">
        <f ca="1">IF(ISNUMBER(L276),L276,IF($C$100="Ei","",IF(AND($C$100="Kyllä",OR(C276=Pudotusvalikot!$D$14,C276=Pudotusvalikot!$D$15)),Kalusto!$G$97,OFFSET(Kalusto!$G$85,AH275+AJ275+AI275,0,1,1)))*IF(OR(C277=Pudotusvalikot!$V$3,C277=Pudotusvalikot!$V$4),Muut!$E$38,IF(C277=Pudotusvalikot!$V$5,Muut!$E$39,IF(C277=Pudotusvalikot!$V$6,Muut!$E$40,Muut!$E$41))))</f>
        <v>0.71940999999999999</v>
      </c>
      <c r="L276" s="40"/>
      <c r="M276" s="41" t="s">
        <v>204</v>
      </c>
      <c r="N276" s="41"/>
      <c r="O276" s="265"/>
      <c r="P276" s="34"/>
      <c r="Q276" s="52"/>
      <c r="R276" s="36"/>
      <c r="S276" s="36"/>
      <c r="T276" s="36"/>
      <c r="U276" s="36"/>
      <c r="V276" s="36"/>
      <c r="W276" s="36"/>
      <c r="X276" s="36"/>
      <c r="Y276" s="36"/>
      <c r="Z276" s="36"/>
      <c r="AA276" s="36"/>
      <c r="AB276" s="36"/>
      <c r="AC276" s="36"/>
      <c r="AD276" s="36"/>
      <c r="AE276" s="36"/>
      <c r="AF276" s="36"/>
      <c r="AG276" s="36"/>
      <c r="AH276" s="36"/>
      <c r="AI276" s="36"/>
      <c r="AJ276" s="36"/>
      <c r="AK276" s="108"/>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9" s="31" customFormat="1" ht="15.5" x14ac:dyDescent="0.3">
      <c r="B277" s="186" t="s">
        <v>506</v>
      </c>
      <c r="C277" s="160" t="s">
        <v>242</v>
      </c>
      <c r="D277" s="34"/>
      <c r="E277" s="34"/>
      <c r="F277" s="34"/>
      <c r="G277" s="34"/>
      <c r="H277" s="59"/>
      <c r="J277" s="173"/>
      <c r="K277" s="173"/>
      <c r="L277" s="173"/>
      <c r="M277" s="41"/>
      <c r="N277" s="41"/>
      <c r="O277" s="265"/>
      <c r="Q277" s="47"/>
      <c r="R277" s="102"/>
      <c r="S277" s="102"/>
      <c r="T277" s="36"/>
      <c r="U277" s="36"/>
      <c r="V277" s="181"/>
      <c r="W277" s="181"/>
      <c r="X277" s="61"/>
      <c r="Y277" s="36"/>
      <c r="Z277" s="61"/>
      <c r="AA277" s="182"/>
      <c r="AB277" s="61"/>
      <c r="AC277" s="61"/>
      <c r="AD277" s="61"/>
      <c r="AE277" s="61"/>
      <c r="AF277" s="182"/>
      <c r="AG277" s="61"/>
      <c r="AH277" s="36"/>
      <c r="AI277" s="36"/>
      <c r="AJ277" s="36"/>
      <c r="AK277" s="108"/>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9" s="31" customFormat="1" ht="15.5" x14ac:dyDescent="0.3">
      <c r="B278" s="45" t="s">
        <v>549</v>
      </c>
      <c r="C278" s="160"/>
      <c r="D278" s="84" t="s">
        <v>176</v>
      </c>
      <c r="G278" s="34"/>
      <c r="H278" s="84"/>
      <c r="I278" s="53"/>
      <c r="J278" s="53"/>
      <c r="K278" s="34"/>
      <c r="L278" s="34"/>
      <c r="M278" s="84"/>
      <c r="N278" s="84"/>
      <c r="O278" s="100"/>
      <c r="P278" s="53"/>
      <c r="Q278" s="52"/>
      <c r="R278" s="36"/>
      <c r="S278" s="36"/>
      <c r="T278" s="36"/>
      <c r="U278" s="36"/>
      <c r="V278" s="36"/>
      <c r="W278" s="36"/>
      <c r="X278" s="36"/>
      <c r="Y278" s="36"/>
      <c r="Z278" s="36"/>
      <c r="AA278" s="36"/>
      <c r="AB278" s="36"/>
      <c r="AC278" s="36"/>
      <c r="AD278" s="36"/>
      <c r="AE278" s="36"/>
      <c r="AF278" s="36"/>
      <c r="AG278" s="36"/>
      <c r="AH278" s="36"/>
      <c r="AI278" s="36"/>
      <c r="AJ278" s="36"/>
      <c r="AK278" s="108"/>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9" s="31" customFormat="1" ht="15.5" x14ac:dyDescent="0.3">
      <c r="B279" s="155" t="s">
        <v>4</v>
      </c>
      <c r="C279" s="34"/>
      <c r="D279" s="84"/>
      <c r="G279" s="34"/>
      <c r="H279" s="84"/>
      <c r="J279" s="33"/>
      <c r="K279" s="38" t="s">
        <v>329</v>
      </c>
      <c r="L279" s="38" t="s">
        <v>201</v>
      </c>
      <c r="M279" s="84"/>
      <c r="N279" s="84"/>
      <c r="O279" s="100"/>
      <c r="P279" s="34"/>
      <c r="Q279" s="35"/>
      <c r="R279" s="36" t="s">
        <v>350</v>
      </c>
      <c r="S279" s="36"/>
      <c r="T279" s="36" t="s">
        <v>446</v>
      </c>
      <c r="U279" s="36" t="s">
        <v>445</v>
      </c>
      <c r="V279" s="36" t="s">
        <v>443</v>
      </c>
      <c r="W279" s="36" t="s">
        <v>444</v>
      </c>
      <c r="X279" s="36" t="s">
        <v>447</v>
      </c>
      <c r="Y279" s="36" t="s">
        <v>449</v>
      </c>
      <c r="Z279" s="36" t="s">
        <v>448</v>
      </c>
      <c r="AA279" s="36" t="s">
        <v>202</v>
      </c>
      <c r="AB279" s="36" t="s">
        <v>380</v>
      </c>
      <c r="AC279" s="36" t="s">
        <v>450</v>
      </c>
      <c r="AD279" s="36" t="s">
        <v>381</v>
      </c>
      <c r="AE279" s="36" t="s">
        <v>451</v>
      </c>
      <c r="AF279" s="36" t="s">
        <v>452</v>
      </c>
      <c r="AG279" s="36" t="s">
        <v>638</v>
      </c>
      <c r="AH279" s="36" t="s">
        <v>206</v>
      </c>
      <c r="AI279" s="36" t="s">
        <v>278</v>
      </c>
      <c r="AJ279" s="36" t="s">
        <v>207</v>
      </c>
      <c r="AK279" s="108"/>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9" s="31" customFormat="1" ht="46.5" x14ac:dyDescent="0.3">
      <c r="B280" s="170" t="s">
        <v>553</v>
      </c>
      <c r="C280" s="161"/>
      <c r="D280" s="91" t="s">
        <v>52</v>
      </c>
      <c r="E280" s="59"/>
      <c r="F280" s="57"/>
      <c r="G280" s="161"/>
      <c r="H280" s="84" t="str">
        <f>IF(D280="t","","t/m3")</f>
        <v/>
      </c>
      <c r="J280" s="173" t="s">
        <v>441</v>
      </c>
      <c r="K280" s="96">
        <f>IF(ISNUMBER(L280),L280,IF(OR(C281=Pudotusvalikot!$D$14,C281=Pudotusvalikot!$D$15),Kalusto!$G$96,VLOOKUP(C281,Kalusto!$C$44:$G$83,5,FALSE))*IF(OR(C282=Pudotusvalikot!$V$3,C282=Pudotusvalikot!$V$4),Muut!$E$38,IF(C282=Pudotusvalikot!$V$5,Muut!$E$39,IF(C282=Pudotusvalikot!$V$6,Muut!$E$40,Muut!$E$41))))</f>
        <v>5.7709999999999997E-2</v>
      </c>
      <c r="L280" s="40"/>
      <c r="M280" s="41" t="s">
        <v>200</v>
      </c>
      <c r="N280" s="41"/>
      <c r="O280" s="265"/>
      <c r="Q280" s="47"/>
      <c r="R280" s="50" t="str">
        <f ca="1">IF(AND(NOT(ISNUMBER(AB280)),NOT(ISNUMBER(AG280))),"",IF(ISNUMBER(AB280),AB280,0)+IF(ISNUMBER(AG280),AG280,0))</f>
        <v/>
      </c>
      <c r="S280" s="102" t="s">
        <v>172</v>
      </c>
      <c r="T280" s="48" t="str">
        <f>IF(ISNUMBER(L280),"Kohdetieto",IF(OR(C281=Pudotusvalikot!$D$14,C281=Pudotusvalikot!$D$15),Kalusto!$I$96,VLOOKUP(C281,Kalusto!$C$44:$L$83,7,FALSE)))</f>
        <v>Maansiirtoauto</v>
      </c>
      <c r="U280" s="48">
        <f>IF(ISNUMBER(L280),"Kohdetieto",IF(OR(C281=Pudotusvalikot!$D$14,C281=Pudotusvalikot!$D$15),Kalusto!$J$96,VLOOKUP(C281,Kalusto!$C$44:$L$83,8,FALSE)))</f>
        <v>32</v>
      </c>
      <c r="V280" s="49">
        <f>IF(ISNUMBER(L280),"Kohdetieto",IF(OR(C281=Pudotusvalikot!$D$14,C281=Pudotusvalikot!$D$15),Kalusto!$K$96,VLOOKUP(C281,Kalusto!$C$44:$L$83,9,FALSE)))</f>
        <v>0.8</v>
      </c>
      <c r="W280" s="49" t="str">
        <f>IF(ISNUMBER(L280),"Kohdetieto",IF(OR(C281=Pudotusvalikot!$D$14,C281=Pudotusvalikot!$D$15),Kalusto!$L$96,VLOOKUP(C281,Kalusto!$C$44:$L$83,10,FALSE)))</f>
        <v>maantieajo</v>
      </c>
      <c r="X280" s="50" t="str">
        <f>IF(ISBLANK(C280),"",IF(D280="t",C280,C280*G280))</f>
        <v/>
      </c>
      <c r="Y280" s="48" t="str">
        <f>IF(ISNUMBER(C283),C283,"")</f>
        <v/>
      </c>
      <c r="Z280" s="50" t="str">
        <f>IF(ISNUMBER(X280/(U280*V280)*Y280),X280/(U280*V280)*Y280,"")</f>
        <v/>
      </c>
      <c r="AA280" s="51">
        <f>IF(ISNUMBER(L280),L280,K280)</f>
        <v>5.7709999999999997E-2</v>
      </c>
      <c r="AB280" s="50" t="str">
        <f>IF(ISNUMBER(Y280*X280*K280),Y280*X280*K280,"")</f>
        <v/>
      </c>
      <c r="AC280" s="50" t="str">
        <f>IF(ISNUMBER(Y280),Y280,"")</f>
        <v/>
      </c>
      <c r="AD280" s="50" t="str">
        <f>IF(ISNUMBER(X280),IF(ISNUMBER(X280/(U280*V280)),CEILING(X280/(U280*V280),1),""),"")</f>
        <v/>
      </c>
      <c r="AE280" s="50" t="str">
        <f>IF(ISNUMBER(AD280*AC280),AD280*AC280,"")</f>
        <v/>
      </c>
      <c r="AF280" s="51">
        <f ca="1">IF(ISNUMBER(L281),L281,K281)</f>
        <v>0.71940999999999999</v>
      </c>
      <c r="AG280" s="50" t="str">
        <f ca="1">IF(ISNUMBER(AC280*AD280*K281),AC280*AD280*K281,"")</f>
        <v/>
      </c>
      <c r="AH280" s="48">
        <f>IF(T280="Jakelukuorma-auto",0,IF(T280="Maansiirtoauto",4,IF(T280="Puoliperävaunu",6,8)))</f>
        <v>4</v>
      </c>
      <c r="AI280" s="48">
        <f>IF(AND(T280="Jakelukuorma-auto",U280=6),0,IF(AND(T280="Jakelukuorma-auto",U280=15),2,0))</f>
        <v>0</v>
      </c>
      <c r="AJ280" s="48">
        <f>IF(W280="maantieajo",0,1)</f>
        <v>0</v>
      </c>
      <c r="AK280" s="108"/>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9" s="31" customFormat="1" ht="31" x14ac:dyDescent="0.3">
      <c r="B281" s="170" t="s">
        <v>550</v>
      </c>
      <c r="C281" s="392" t="s">
        <v>330</v>
      </c>
      <c r="D281" s="393"/>
      <c r="E281" s="393"/>
      <c r="F281" s="393"/>
      <c r="G281" s="394"/>
      <c r="I281" s="59"/>
      <c r="J281" s="33" t="s">
        <v>442</v>
      </c>
      <c r="K281" s="96">
        <f ca="1">IF(ISNUMBER(L281),L281,IF($C$100="Ei","",IF(AND($C$100="Kyllä",OR(C281=Pudotusvalikot!$D$14,C281=Pudotusvalikot!$D$15)),Kalusto!$G$97,OFFSET(Kalusto!$G$85,AH280+AJ280+AI280,0,1,1)))*IF(OR(C282=Pudotusvalikot!$V$3,C282=Pudotusvalikot!$V$4),Muut!$E$38,IF(C282=Pudotusvalikot!$V$5,Muut!$E$39,IF(C282=Pudotusvalikot!$V$6,Muut!$E$40,Muut!$E$41))))</f>
        <v>0.71940999999999999</v>
      </c>
      <c r="L281" s="40"/>
      <c r="M281" s="41" t="s">
        <v>204</v>
      </c>
      <c r="N281" s="41"/>
      <c r="O281" s="265"/>
      <c r="P281" s="34"/>
      <c r="Q281" s="52"/>
      <c r="R281" s="99"/>
      <c r="S281" s="36"/>
      <c r="T281" s="36"/>
      <c r="U281" s="36"/>
      <c r="V281" s="36"/>
      <c r="W281" s="36"/>
      <c r="X281" s="36"/>
      <c r="Y281" s="36"/>
      <c r="Z281" s="36"/>
      <c r="AA281" s="36"/>
      <c r="AB281" s="36"/>
      <c r="AC281" s="36"/>
      <c r="AD281" s="36"/>
      <c r="AE281" s="36"/>
      <c r="AF281" s="36"/>
      <c r="AG281" s="36"/>
      <c r="AH281" s="36"/>
      <c r="AI281" s="36"/>
      <c r="AJ281" s="36"/>
      <c r="AK281" s="36"/>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9" s="31" customFormat="1" ht="15.5" x14ac:dyDescent="0.3">
      <c r="B282" s="186" t="s">
        <v>506</v>
      </c>
      <c r="C282" s="160" t="s">
        <v>242</v>
      </c>
      <c r="D282" s="34"/>
      <c r="E282" s="34"/>
      <c r="F282" s="34"/>
      <c r="G282" s="34"/>
      <c r="H282" s="59"/>
      <c r="J282" s="173"/>
      <c r="K282" s="173"/>
      <c r="L282" s="173"/>
      <c r="M282" s="41"/>
      <c r="N282" s="41"/>
      <c r="O282" s="265"/>
      <c r="Q282" s="47"/>
      <c r="R282" s="102"/>
      <c r="S282" s="102"/>
      <c r="T282" s="36"/>
      <c r="U282" s="36"/>
      <c r="V282" s="181"/>
      <c r="W282" s="181"/>
      <c r="X282" s="61"/>
      <c r="Y282" s="36"/>
      <c r="Z282" s="61"/>
      <c r="AA282" s="182"/>
      <c r="AB282" s="61"/>
      <c r="AC282" s="61"/>
      <c r="AD282" s="61"/>
      <c r="AE282" s="61"/>
      <c r="AF282" s="182"/>
      <c r="AG282" s="61"/>
      <c r="AH282" s="36"/>
      <c r="AI282" s="36"/>
      <c r="AJ282" s="36"/>
      <c r="AK282" s="108"/>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9" s="31" customFormat="1" ht="15.5" x14ac:dyDescent="0.3">
      <c r="B283" s="45" t="s">
        <v>549</v>
      </c>
      <c r="C283" s="162"/>
      <c r="D283" s="84" t="s">
        <v>5</v>
      </c>
      <c r="G283" s="34"/>
      <c r="H283" s="84"/>
      <c r="I283" s="53"/>
      <c r="J283" s="53"/>
      <c r="K283" s="34"/>
      <c r="L283" s="34"/>
      <c r="M283" s="84"/>
      <c r="N283" s="84"/>
      <c r="O283" s="100"/>
      <c r="P283" s="53"/>
      <c r="Q283" s="52"/>
      <c r="R283" s="99"/>
      <c r="S283" s="36"/>
      <c r="T283" s="36"/>
      <c r="U283" s="36"/>
      <c r="V283" s="36"/>
      <c r="W283" s="36"/>
      <c r="X283" s="36"/>
      <c r="Y283" s="36"/>
      <c r="Z283" s="36"/>
      <c r="AA283" s="36"/>
      <c r="AB283" s="36"/>
      <c r="AC283" s="36"/>
      <c r="AD283" s="36"/>
      <c r="AE283" s="36"/>
      <c r="AF283" s="36"/>
      <c r="AG283" s="36"/>
      <c r="AH283" s="36"/>
      <c r="AI283" s="36"/>
      <c r="AJ283" s="36"/>
      <c r="AK283" s="36"/>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9" s="31" customFormat="1" ht="15.5" x14ac:dyDescent="0.3">
      <c r="B284" s="54"/>
      <c r="C284" s="34"/>
      <c r="D284" s="59"/>
      <c r="E284" s="58"/>
      <c r="F284" s="58"/>
      <c r="G284" s="34"/>
      <c r="H284" s="84"/>
      <c r="J284" s="33"/>
      <c r="K284" s="34"/>
      <c r="L284" s="34"/>
      <c r="M284" s="84"/>
      <c r="N284" s="84"/>
      <c r="O284" s="100"/>
      <c r="Q284" s="35"/>
      <c r="R284" s="99"/>
      <c r="S284" s="36"/>
      <c r="T284" s="36"/>
      <c r="U284" s="36"/>
      <c r="V284" s="36"/>
      <c r="W284" s="36"/>
      <c r="X284" s="36"/>
      <c r="Y284" s="36"/>
      <c r="Z284" s="36"/>
      <c r="AA284" s="36"/>
      <c r="AB284" s="36"/>
      <c r="AC284" s="36"/>
      <c r="AD284" s="36"/>
      <c r="AE284" s="36"/>
      <c r="AF284" s="36"/>
      <c r="AG284" s="36"/>
      <c r="AH284" s="36"/>
      <c r="AI284" s="36"/>
      <c r="AJ284" s="36"/>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9" s="31" customFormat="1" ht="15.5" x14ac:dyDescent="0.3">
      <c r="B285" s="177" t="s">
        <v>554</v>
      </c>
      <c r="C285" s="34"/>
      <c r="D285" s="59"/>
      <c r="E285" s="58"/>
      <c r="F285" s="58"/>
      <c r="G285" s="34"/>
      <c r="H285" s="84"/>
      <c r="J285" s="33"/>
      <c r="K285" s="34"/>
      <c r="L285" s="34"/>
      <c r="M285" s="84"/>
      <c r="N285" s="84"/>
      <c r="O285" s="100"/>
      <c r="Q285" s="35"/>
      <c r="R285" s="99"/>
      <c r="S285" s="36"/>
      <c r="T285" s="36"/>
      <c r="U285" s="36"/>
      <c r="V285" s="36"/>
      <c r="W285" s="36"/>
      <c r="X285" s="36"/>
      <c r="Y285" s="36"/>
      <c r="Z285" s="36"/>
      <c r="AA285" s="36"/>
      <c r="AB285" s="36"/>
      <c r="AC285" s="36"/>
      <c r="AD285" s="36"/>
      <c r="AE285" s="36"/>
      <c r="AF285" s="36"/>
      <c r="AG285" s="36"/>
      <c r="AH285" s="36"/>
      <c r="AI285" s="36"/>
      <c r="AJ285" s="36"/>
      <c r="AK285" s="36"/>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9" s="31" customFormat="1" ht="15.5" x14ac:dyDescent="0.3">
      <c r="B286" s="54"/>
      <c r="C286" s="34"/>
      <c r="D286" s="59"/>
      <c r="E286" s="58"/>
      <c r="F286" s="58"/>
      <c r="G286" s="34"/>
      <c r="H286" s="84"/>
      <c r="J286" s="33"/>
      <c r="K286" s="34"/>
      <c r="L286" s="34"/>
      <c r="M286" s="84"/>
      <c r="N286" s="84"/>
      <c r="O286" s="84"/>
      <c r="Q286" s="35"/>
      <c r="R286" s="99"/>
      <c r="S286" s="36"/>
      <c r="T286" s="36"/>
      <c r="U286" s="36"/>
      <c r="V286" s="36"/>
      <c r="W286" s="36"/>
      <c r="X286" s="36"/>
      <c r="Y286" s="36"/>
      <c r="Z286" s="36"/>
      <c r="AA286" s="36"/>
      <c r="AB286" s="36"/>
      <c r="AC286" s="36"/>
      <c r="AD286" s="36"/>
      <c r="AE286" s="36"/>
      <c r="AF286" s="36"/>
      <c r="AG286" s="36"/>
      <c r="AH286" s="36"/>
      <c r="AI286" s="36"/>
      <c r="AJ286" s="36"/>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9" s="298" customFormat="1" ht="18" x14ac:dyDescent="0.3">
      <c r="B287" s="295" t="s">
        <v>41</v>
      </c>
      <c r="C287" s="296"/>
      <c r="D287" s="297"/>
      <c r="G287" s="296"/>
      <c r="H287" s="297"/>
      <c r="K287" s="296"/>
      <c r="L287" s="296"/>
      <c r="M287" s="297"/>
      <c r="N287" s="297"/>
      <c r="O287" s="300"/>
      <c r="P287" s="320"/>
      <c r="Q287" s="304"/>
      <c r="S287" s="303"/>
      <c r="T287" s="303"/>
      <c r="U287" s="303"/>
      <c r="V287" s="303"/>
      <c r="W287" s="303"/>
      <c r="X287" s="303"/>
      <c r="Y287" s="303"/>
      <c r="Z287" s="303"/>
      <c r="AA287" s="303"/>
      <c r="AB287" s="303"/>
      <c r="AC287" s="303"/>
      <c r="AD287" s="303"/>
      <c r="AE287" s="303"/>
      <c r="AF287" s="303"/>
      <c r="AG287" s="303"/>
      <c r="AH287" s="303"/>
      <c r="AI287" s="303"/>
      <c r="AJ287" s="303"/>
      <c r="AK287" s="303"/>
      <c r="AL287" s="303"/>
      <c r="AM287" s="303"/>
      <c r="AN287" s="304"/>
      <c r="AO287" s="304"/>
      <c r="AP287" s="304"/>
      <c r="AQ287" s="304"/>
      <c r="AR287" s="304"/>
      <c r="AS287" s="304"/>
      <c r="AT287" s="304"/>
      <c r="AU287" s="304"/>
      <c r="AV287" s="304"/>
      <c r="AW287" s="304"/>
      <c r="AX287" s="304"/>
      <c r="AY287" s="304"/>
      <c r="AZ287" s="304"/>
      <c r="BA287" s="304"/>
      <c r="BB287" s="304"/>
      <c r="BC287" s="304"/>
      <c r="BD287" s="304"/>
      <c r="BE287" s="304"/>
    </row>
    <row r="288" spans="2:59" s="31" customFormat="1" ht="15.5" x14ac:dyDescent="0.3">
      <c r="B288" s="9"/>
      <c r="C288" s="34"/>
      <c r="D288" s="84"/>
      <c r="G288" s="34"/>
      <c r="H288" s="84"/>
      <c r="J288" s="33"/>
      <c r="K288" s="34"/>
      <c r="L288" s="34"/>
      <c r="M288" s="84"/>
      <c r="N288" s="84"/>
      <c r="O288" s="255" t="s">
        <v>644</v>
      </c>
      <c r="Q288" s="35"/>
      <c r="R288" s="99"/>
      <c r="S288" s="36"/>
      <c r="T288" s="36"/>
      <c r="U288" s="36"/>
      <c r="V288" s="36"/>
      <c r="W288" s="36"/>
      <c r="X288" s="36"/>
      <c r="Y288" s="36"/>
      <c r="Z288" s="36"/>
      <c r="AA288" s="36"/>
      <c r="AB288" s="36"/>
      <c r="AC288" s="36"/>
      <c r="AD288" s="36"/>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c r="BF288" s="108"/>
      <c r="BG288" s="108"/>
    </row>
    <row r="289" spans="2:57" s="31" customFormat="1" ht="15.5" x14ac:dyDescent="0.3">
      <c r="B289" s="9" t="s">
        <v>597</v>
      </c>
      <c r="C289" s="34"/>
      <c r="D289" s="84"/>
      <c r="G289" s="34"/>
      <c r="H289" s="84"/>
      <c r="J289" s="33"/>
      <c r="K289" s="38"/>
      <c r="L289" s="38"/>
      <c r="M289" s="84"/>
      <c r="N289" s="84"/>
      <c r="O289" s="256"/>
      <c r="Q289" s="35"/>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7" s="31" customFormat="1" ht="15.5" x14ac:dyDescent="0.3">
      <c r="B290" s="9"/>
      <c r="C290" s="34"/>
      <c r="D290" s="84"/>
      <c r="G290" s="34"/>
      <c r="H290" s="84"/>
      <c r="J290" s="33"/>
      <c r="K290" s="38" t="s">
        <v>329</v>
      </c>
      <c r="L290" s="38" t="s">
        <v>201</v>
      </c>
      <c r="M290" s="84"/>
      <c r="N290" s="84"/>
      <c r="O290" s="100"/>
      <c r="Q290" s="35"/>
      <c r="R290" s="36" t="s">
        <v>350</v>
      </c>
      <c r="S290" s="36"/>
      <c r="T290" s="36"/>
      <c r="U290" s="36"/>
      <c r="V290" s="36"/>
      <c r="W290" s="36"/>
      <c r="X290" s="36"/>
      <c r="Y290" s="36"/>
      <c r="Z290" s="36"/>
      <c r="AA290" s="36"/>
      <c r="AB290" s="36"/>
      <c r="AC290" s="36"/>
      <c r="AD290" s="36"/>
      <c r="AE290" s="36"/>
      <c r="AF290" s="36"/>
      <c r="AG290" s="36"/>
      <c r="AH290" s="36"/>
      <c r="AI290" s="36"/>
      <c r="AJ290" s="36"/>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7" s="31" customFormat="1" ht="31" x14ac:dyDescent="0.3">
      <c r="B291" s="86" t="s">
        <v>551</v>
      </c>
      <c r="C291" s="160"/>
      <c r="D291" s="84" t="s">
        <v>175</v>
      </c>
      <c r="G291" s="34"/>
      <c r="H291" s="84"/>
      <c r="J291" s="33" t="s">
        <v>565</v>
      </c>
      <c r="K291" s="96">
        <f>IF(ISNUMBER(L291),L291,Muut!$H$28*IF(OR(C292=Pudotusvalikot!$V$3,C292=Pudotusvalikot!$V$4),Muut!$E$38,IF(C292=Pudotusvalikot!$V$5,Muut!$E$39,IF(C292=Pudotusvalikot!$V$6,Muut!$E$40,Muut!$E$41))))</f>
        <v>0.22753333333333334</v>
      </c>
      <c r="L291" s="63"/>
      <c r="M291" s="41" t="s">
        <v>226</v>
      </c>
      <c r="N291" s="41"/>
      <c r="O291" s="265"/>
      <c r="Q291" s="35"/>
      <c r="R291" s="109" t="str">
        <f>IF(AND(ISNUMBER(K291),ISNUMBER(C291)),K291*C291,"")</f>
        <v/>
      </c>
      <c r="S291" s="102" t="s">
        <v>172</v>
      </c>
      <c r="T291" s="61"/>
      <c r="U291" s="61"/>
      <c r="V291" s="61"/>
      <c r="W291" s="36"/>
      <c r="X291" s="36"/>
      <c r="Y291" s="36"/>
      <c r="Z291" s="36"/>
      <c r="AA291" s="36"/>
      <c r="AB291" s="36"/>
      <c r="AC291" s="36"/>
      <c r="AD291" s="36"/>
      <c r="AE291" s="36"/>
      <c r="AF291" s="36"/>
      <c r="AG291" s="36"/>
      <c r="AH291" s="36"/>
      <c r="AI291" s="36"/>
      <c r="AJ291" s="36"/>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7" s="31" customFormat="1" ht="15.5" x14ac:dyDescent="0.3">
      <c r="B292" s="170" t="s">
        <v>509</v>
      </c>
      <c r="C292" s="160" t="s">
        <v>242</v>
      </c>
      <c r="D292" s="34"/>
      <c r="E292" s="34"/>
      <c r="F292" s="34"/>
      <c r="G292" s="34"/>
      <c r="H292" s="34"/>
      <c r="I292" s="34"/>
      <c r="J292" s="173"/>
      <c r="K292" s="173"/>
      <c r="L292" s="173"/>
      <c r="M292" s="41"/>
      <c r="N292" s="41"/>
      <c r="O292" s="265"/>
      <c r="Q292" s="47"/>
      <c r="R292" s="61"/>
      <c r="S292" s="102"/>
      <c r="T292" s="36"/>
      <c r="U292" s="36"/>
      <c r="V292" s="181"/>
      <c r="W292" s="181"/>
      <c r="X292" s="61"/>
      <c r="Y292" s="36"/>
      <c r="Z292" s="61"/>
      <c r="AA292" s="182"/>
      <c r="AB292" s="61"/>
      <c r="AC292" s="61"/>
      <c r="AD292" s="61"/>
      <c r="AE292" s="61"/>
      <c r="AF292" s="182"/>
      <c r="AG292" s="61"/>
      <c r="AH292" s="36"/>
      <c r="AI292" s="36"/>
      <c r="AJ292" s="36"/>
      <c r="AK292" s="108"/>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7" s="31" customFormat="1" ht="46.5" x14ac:dyDescent="0.3">
      <c r="B293" s="86" t="s">
        <v>527</v>
      </c>
      <c r="F293" s="34"/>
      <c r="G293" s="34"/>
      <c r="H293" s="34"/>
      <c r="I293" s="34"/>
      <c r="K293" s="38" t="s">
        <v>329</v>
      </c>
      <c r="L293" s="38" t="s">
        <v>201</v>
      </c>
      <c r="M293" s="84"/>
      <c r="N293" s="84"/>
      <c r="O293" s="100"/>
      <c r="Q293" s="35"/>
      <c r="R293" s="36" t="s">
        <v>350</v>
      </c>
      <c r="S293" s="108"/>
      <c r="T293" s="36"/>
      <c r="U293" s="36"/>
      <c r="V293" s="36"/>
      <c r="W293" s="36"/>
      <c r="X293" s="36"/>
      <c r="Y293" s="36"/>
      <c r="Z293" s="36"/>
      <c r="AA293" s="36"/>
      <c r="AB293" s="36"/>
      <c r="AC293" s="36"/>
      <c r="AD293" s="36"/>
      <c r="AE293" s="36"/>
      <c r="AF293" s="36"/>
      <c r="AG293" s="36"/>
      <c r="AH293" s="36"/>
      <c r="AI293" s="36"/>
      <c r="AJ293" s="36"/>
      <c r="AK293" s="36"/>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7" s="31" customFormat="1" ht="15.5" x14ac:dyDescent="0.3">
      <c r="B294" s="136" t="s">
        <v>555</v>
      </c>
      <c r="C294" s="66"/>
      <c r="D294" s="84" t="s">
        <v>52</v>
      </c>
      <c r="G294" s="34"/>
      <c r="H294" s="84"/>
      <c r="J294" s="33" t="s">
        <v>382</v>
      </c>
      <c r="K294" s="138">
        <f>IF(ISNUMBER(L294),L294,Muut!$H$30)</f>
        <v>33.857142857142854</v>
      </c>
      <c r="L294" s="63"/>
      <c r="M294" s="41" t="s">
        <v>277</v>
      </c>
      <c r="N294" s="41"/>
      <c r="O294" s="265"/>
      <c r="Q294" s="35"/>
      <c r="R294" s="109" t="str">
        <f>IF(AND(ISNUMBER(K294),ISNUMBER(C294)),K294*C294,"")</f>
        <v/>
      </c>
      <c r="S294" s="102" t="s">
        <v>172</v>
      </c>
      <c r="T294" s="36"/>
      <c r="U294" s="36"/>
      <c r="V294" s="36"/>
      <c r="W294" s="36"/>
      <c r="X294" s="36"/>
      <c r="Y294" s="36"/>
      <c r="Z294" s="36"/>
      <c r="AA294" s="36"/>
      <c r="AB294" s="36"/>
      <c r="AC294" s="36"/>
      <c r="AD294" s="36"/>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7" s="31" customFormat="1" ht="15.5" x14ac:dyDescent="0.3">
      <c r="B295" s="170" t="s">
        <v>570</v>
      </c>
      <c r="C295" s="160"/>
      <c r="D295" s="84" t="s">
        <v>8</v>
      </c>
      <c r="E295" s="34"/>
      <c r="F295" s="34"/>
      <c r="G295" s="34"/>
      <c r="H295" s="84"/>
      <c r="J295" s="33" t="s">
        <v>560</v>
      </c>
      <c r="K295" s="96" t="str">
        <f>IF(ISNUMBER(L295),L295,"")</f>
        <v/>
      </c>
      <c r="L295" s="185"/>
      <c r="M295" s="41" t="s">
        <v>277</v>
      </c>
      <c r="N295" s="41"/>
      <c r="O295" s="265"/>
      <c r="Q295" s="35"/>
      <c r="R295" s="109" t="str">
        <f>IF(AND(ISNUMBER(K295),ISNUMBER(C295)),-K295*C295,"")</f>
        <v/>
      </c>
      <c r="S295" s="102" t="s">
        <v>172</v>
      </c>
      <c r="T295" s="135" t="s">
        <v>383</v>
      </c>
      <c r="U295" s="36"/>
      <c r="V295" s="36"/>
      <c r="W295" s="36"/>
      <c r="X295" s="36"/>
      <c r="Y295" s="36"/>
      <c r="Z295" s="36"/>
      <c r="AA295" s="36"/>
      <c r="AB295" s="36"/>
      <c r="AC295" s="36"/>
      <c r="AD295" s="36"/>
      <c r="AE295" s="36"/>
      <c r="AF295" s="36"/>
      <c r="AG295" s="36"/>
      <c r="AH295" s="36"/>
      <c r="AI295" s="36"/>
      <c r="AJ295" s="36"/>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7" s="31" customFormat="1" ht="15.5" x14ac:dyDescent="0.3">
      <c r="B296" s="170" t="s">
        <v>571</v>
      </c>
      <c r="C296" s="160"/>
      <c r="D296" s="84" t="s">
        <v>8</v>
      </c>
      <c r="E296" s="34"/>
      <c r="F296" s="34"/>
      <c r="G296" s="34"/>
      <c r="H296" s="84"/>
      <c r="J296" s="33" t="s">
        <v>564</v>
      </c>
      <c r="K296" s="96" t="str">
        <f>IF(ISNUMBER(L296),L296,"")</f>
        <v/>
      </c>
      <c r="L296" s="185"/>
      <c r="M296" s="41" t="s">
        <v>277</v>
      </c>
      <c r="N296" s="41"/>
      <c r="O296" s="265"/>
      <c r="Q296" s="35"/>
      <c r="R296" s="109" t="str">
        <f>IF(AND(ISNUMBER(K296),ISNUMBER(C296)),-K296*C296,"")</f>
        <v/>
      </c>
      <c r="S296" s="102" t="s">
        <v>172</v>
      </c>
      <c r="T296" s="135" t="s">
        <v>383</v>
      </c>
      <c r="U296" s="36"/>
      <c r="V296" s="36"/>
      <c r="W296" s="36"/>
      <c r="X296" s="36"/>
      <c r="Y296" s="36"/>
      <c r="Z296" s="36"/>
      <c r="AA296" s="36"/>
      <c r="AB296" s="36"/>
      <c r="AC296" s="36"/>
      <c r="AD296" s="36"/>
      <c r="AE296" s="36"/>
      <c r="AF296" s="36"/>
      <c r="AG296" s="36"/>
      <c r="AH296" s="36"/>
      <c r="AI296" s="36"/>
      <c r="AJ296" s="36"/>
      <c r="AK296" s="36"/>
      <c r="AL296" s="36"/>
      <c r="AM296" s="36"/>
      <c r="AN296" s="37"/>
      <c r="AO296" s="37"/>
      <c r="AP296" s="37"/>
      <c r="AQ296" s="37"/>
      <c r="AR296" s="37"/>
      <c r="AS296" s="37"/>
      <c r="AT296" s="37"/>
      <c r="AU296" s="37"/>
      <c r="AV296" s="37"/>
      <c r="AW296" s="37"/>
      <c r="AX296" s="37"/>
      <c r="AY296" s="37"/>
      <c r="AZ296" s="37"/>
      <c r="BA296" s="37"/>
      <c r="BB296" s="37"/>
      <c r="BC296" s="37"/>
      <c r="BD296" s="37"/>
      <c r="BE296" s="37"/>
    </row>
    <row r="297" spans="2:57" s="31" customFormat="1" ht="15.5" x14ac:dyDescent="0.3">
      <c r="B297" s="136" t="s">
        <v>556</v>
      </c>
      <c r="C297" s="66"/>
      <c r="D297" s="84" t="s">
        <v>52</v>
      </c>
      <c r="G297" s="34"/>
      <c r="H297" s="84"/>
      <c r="J297" s="33" t="s">
        <v>382</v>
      </c>
      <c r="K297" s="138">
        <f>IF(ISNUMBER(L297),L297,Muut!$H$30)</f>
        <v>33.857142857142854</v>
      </c>
      <c r="L297" s="63"/>
      <c r="M297" s="41" t="s">
        <v>277</v>
      </c>
      <c r="N297" s="41"/>
      <c r="O297" s="265"/>
      <c r="Q297" s="35"/>
      <c r="R297" s="109" t="str">
        <f>IF(AND(ISNUMBER(K297),ISNUMBER(C297)),K297*C297,"")</f>
        <v/>
      </c>
      <c r="S297" s="102" t="s">
        <v>172</v>
      </c>
      <c r="T297" s="36"/>
      <c r="U297" s="36"/>
      <c r="V297" s="36"/>
      <c r="W297" s="36"/>
      <c r="X297" s="36"/>
      <c r="Y297" s="36"/>
      <c r="Z297" s="36"/>
      <c r="AA297" s="36"/>
      <c r="AB297" s="36"/>
      <c r="AC297" s="36"/>
      <c r="AD297" s="36"/>
      <c r="AE297" s="36"/>
      <c r="AF297" s="36"/>
      <c r="AG297" s="36"/>
      <c r="AH297" s="36"/>
      <c r="AI297" s="36"/>
      <c r="AJ297" s="36"/>
      <c r="AK297" s="36"/>
      <c r="AL297" s="36"/>
      <c r="AM297" s="36"/>
      <c r="AN297" s="37"/>
      <c r="AO297" s="37"/>
      <c r="AP297" s="37"/>
      <c r="AQ297" s="37"/>
      <c r="AR297" s="37"/>
      <c r="AS297" s="37"/>
      <c r="AT297" s="37"/>
      <c r="AU297" s="37"/>
      <c r="AV297" s="37"/>
      <c r="AW297" s="37"/>
      <c r="AX297" s="37"/>
      <c r="AY297" s="37"/>
      <c r="AZ297" s="37"/>
      <c r="BA297" s="37"/>
      <c r="BB297" s="37"/>
      <c r="BC297" s="37"/>
      <c r="BD297" s="37"/>
      <c r="BE297" s="37"/>
    </row>
    <row r="298" spans="2:57" s="31" customFormat="1" ht="15.5" x14ac:dyDescent="0.3">
      <c r="B298" s="170" t="s">
        <v>572</v>
      </c>
      <c r="C298" s="160"/>
      <c r="D298" s="84" t="s">
        <v>8</v>
      </c>
      <c r="G298" s="34"/>
      <c r="H298" s="84"/>
      <c r="J298" s="33" t="s">
        <v>560</v>
      </c>
      <c r="K298" s="96" t="str">
        <f>IF(ISNUMBER(L298),L298,"")</f>
        <v/>
      </c>
      <c r="L298" s="185"/>
      <c r="M298" s="41" t="s">
        <v>277</v>
      </c>
      <c r="N298" s="41"/>
      <c r="O298" s="265"/>
      <c r="Q298" s="35"/>
      <c r="R298" s="109" t="str">
        <f>IF(AND(ISNUMBER(K298),ISNUMBER(C298)),-K298*C298,"")</f>
        <v/>
      </c>
      <c r="S298" s="102" t="s">
        <v>172</v>
      </c>
      <c r="T298" s="135" t="s">
        <v>383</v>
      </c>
      <c r="U298" s="36"/>
      <c r="V298" s="36"/>
      <c r="W298" s="36"/>
      <c r="X298" s="36"/>
      <c r="Y298" s="36"/>
      <c r="Z298" s="36"/>
      <c r="AA298" s="36"/>
      <c r="AB298" s="36"/>
      <c r="AC298" s="36"/>
      <c r="AD298" s="36"/>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row>
    <row r="299" spans="2:57" s="31" customFormat="1" ht="15.5" x14ac:dyDescent="0.3">
      <c r="B299" s="170" t="s">
        <v>571</v>
      </c>
      <c r="C299" s="160"/>
      <c r="D299" s="84" t="s">
        <v>8</v>
      </c>
      <c r="E299" s="34"/>
      <c r="F299" s="34"/>
      <c r="G299" s="34"/>
      <c r="H299" s="84"/>
      <c r="J299" s="33" t="s">
        <v>564</v>
      </c>
      <c r="K299" s="96" t="str">
        <f>IF(ISNUMBER(L299),L299,"")</f>
        <v/>
      </c>
      <c r="L299" s="185"/>
      <c r="M299" s="41" t="s">
        <v>277</v>
      </c>
      <c r="N299" s="41"/>
      <c r="O299" s="265"/>
      <c r="Q299" s="35"/>
      <c r="R299" s="109" t="str">
        <f>IF(AND(ISNUMBER(K299),ISNUMBER(C299)),-K299*C299,"")</f>
        <v/>
      </c>
      <c r="S299" s="102" t="s">
        <v>172</v>
      </c>
      <c r="T299" s="135" t="s">
        <v>383</v>
      </c>
      <c r="U299" s="36"/>
      <c r="V299" s="36"/>
      <c r="W299" s="36"/>
      <c r="X299" s="36"/>
      <c r="Y299" s="36"/>
      <c r="Z299" s="36"/>
      <c r="AA299" s="36"/>
      <c r="AB299" s="36"/>
      <c r="AC299" s="36"/>
      <c r="AD299" s="36"/>
      <c r="AE299" s="36"/>
      <c r="AF299" s="36"/>
      <c r="AG299" s="36"/>
      <c r="AH299" s="36"/>
      <c r="AI299" s="36"/>
      <c r="AJ299" s="36"/>
      <c r="AK299" s="36"/>
      <c r="AL299" s="36"/>
      <c r="AM299" s="36"/>
      <c r="AN299" s="37"/>
      <c r="AO299" s="37"/>
      <c r="AP299" s="37"/>
      <c r="AQ299" s="37"/>
      <c r="AR299" s="37"/>
      <c r="AS299" s="37"/>
      <c r="AT299" s="37"/>
      <c r="AU299" s="37"/>
      <c r="AV299" s="37"/>
      <c r="AW299" s="37"/>
      <c r="AX299" s="37"/>
      <c r="AY299" s="37"/>
      <c r="AZ299" s="37"/>
      <c r="BA299" s="37"/>
      <c r="BB299" s="37"/>
      <c r="BC299" s="37"/>
      <c r="BD299" s="37"/>
      <c r="BE299" s="37"/>
    </row>
    <row r="300" spans="2:57" s="31" customFormat="1" ht="15.5" x14ac:dyDescent="0.3">
      <c r="B300" s="136" t="s">
        <v>557</v>
      </c>
      <c r="C300" s="66"/>
      <c r="D300" s="84" t="s">
        <v>52</v>
      </c>
      <c r="G300" s="34"/>
      <c r="H300" s="84"/>
      <c r="J300" s="33" t="s">
        <v>382</v>
      </c>
      <c r="K300" s="138">
        <f>IF(ISNUMBER(L300),L300,Muut!$H$30)</f>
        <v>33.857142857142854</v>
      </c>
      <c r="L300" s="63"/>
      <c r="M300" s="41" t="s">
        <v>277</v>
      </c>
      <c r="N300" s="41"/>
      <c r="O300" s="265"/>
      <c r="Q300" s="35"/>
      <c r="R300" s="109" t="str">
        <f>IF(AND(ISNUMBER(K300),ISNUMBER(C300)),K300*C300,"")</f>
        <v/>
      </c>
      <c r="S300" s="102" t="s">
        <v>172</v>
      </c>
      <c r="T300" s="36"/>
      <c r="U300" s="36"/>
      <c r="V300" s="36"/>
      <c r="W300" s="36"/>
      <c r="X300" s="36"/>
      <c r="Y300" s="36"/>
      <c r="Z300" s="36"/>
      <c r="AA300" s="36"/>
      <c r="AB300" s="36"/>
      <c r="AC300" s="36"/>
      <c r="AD300" s="36"/>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7" s="31" customFormat="1" ht="15.5" x14ac:dyDescent="0.3">
      <c r="B301" s="170" t="s">
        <v>572</v>
      </c>
      <c r="C301" s="160"/>
      <c r="D301" s="84" t="s">
        <v>8</v>
      </c>
      <c r="E301" s="34"/>
      <c r="F301" s="34"/>
      <c r="G301" s="34"/>
      <c r="H301" s="84"/>
      <c r="J301" s="33" t="s">
        <v>560</v>
      </c>
      <c r="K301" s="96" t="str">
        <f>IF(ISNUMBER(L301),L301,"")</f>
        <v/>
      </c>
      <c r="L301" s="185"/>
      <c r="M301" s="41" t="s">
        <v>277</v>
      </c>
      <c r="N301" s="41"/>
      <c r="O301" s="265"/>
      <c r="Q301" s="35"/>
      <c r="R301" s="109" t="str">
        <f>IF(AND(ISNUMBER(K301),ISNUMBER(C301)),-K301*C301,"")</f>
        <v/>
      </c>
      <c r="S301" s="102" t="s">
        <v>172</v>
      </c>
      <c r="T301" s="135" t="s">
        <v>383</v>
      </c>
      <c r="U301" s="36"/>
      <c r="V301" s="36"/>
      <c r="W301" s="36"/>
      <c r="X301" s="36"/>
      <c r="Y301" s="36"/>
      <c r="Z301" s="36"/>
      <c r="AA301" s="36"/>
      <c r="AB301" s="36"/>
      <c r="AC301" s="36"/>
      <c r="AD301" s="36"/>
      <c r="AE301" s="36"/>
      <c r="AF301" s="36"/>
      <c r="AG301" s="36"/>
      <c r="AH301" s="36"/>
      <c r="AI301" s="36"/>
      <c r="AJ301" s="36"/>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7" s="31" customFormat="1" ht="15.5" x14ac:dyDescent="0.3">
      <c r="B302" s="170" t="s">
        <v>571</v>
      </c>
      <c r="C302" s="160"/>
      <c r="D302" s="84" t="s">
        <v>8</v>
      </c>
      <c r="E302" s="34"/>
      <c r="F302" s="34"/>
      <c r="G302" s="34"/>
      <c r="H302" s="84"/>
      <c r="J302" s="33" t="s">
        <v>564</v>
      </c>
      <c r="K302" s="96" t="str">
        <f>IF(ISNUMBER(L302),L302,"")</f>
        <v/>
      </c>
      <c r="L302" s="185"/>
      <c r="M302" s="41" t="s">
        <v>277</v>
      </c>
      <c r="N302" s="41"/>
      <c r="O302" s="265"/>
      <c r="Q302" s="35"/>
      <c r="R302" s="109" t="str">
        <f>IF(AND(ISNUMBER(K302),ISNUMBER(C302)),-K302*C302,"")</f>
        <v/>
      </c>
      <c r="S302" s="102" t="s">
        <v>172</v>
      </c>
      <c r="T302" s="135" t="s">
        <v>383</v>
      </c>
      <c r="U302" s="36"/>
      <c r="V302" s="36"/>
      <c r="W302" s="36"/>
      <c r="X302" s="36"/>
      <c r="Y302" s="36"/>
      <c r="Z302" s="36"/>
      <c r="AA302" s="36"/>
      <c r="AB302" s="36"/>
      <c r="AC302" s="36"/>
      <c r="AD302" s="36"/>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7" s="31" customFormat="1" ht="15.5" x14ac:dyDescent="0.3">
      <c r="B303" s="136" t="s">
        <v>558</v>
      </c>
      <c r="C303" s="66"/>
      <c r="D303" s="84" t="s">
        <v>52</v>
      </c>
      <c r="G303" s="34"/>
      <c r="H303" s="84"/>
      <c r="J303" s="33" t="s">
        <v>382</v>
      </c>
      <c r="K303" s="138">
        <f>IF(ISNUMBER(L303),L303,Muut!$H$30)</f>
        <v>33.857142857142854</v>
      </c>
      <c r="L303" s="63"/>
      <c r="M303" s="41" t="s">
        <v>277</v>
      </c>
      <c r="N303" s="41"/>
      <c r="O303" s="265"/>
      <c r="Q303" s="35"/>
      <c r="R303" s="109" t="str">
        <f>IF(AND(ISNUMBER(K303),ISNUMBER(C303)),K303*C303,"")</f>
        <v/>
      </c>
      <c r="S303" s="102" t="s">
        <v>172</v>
      </c>
      <c r="T303" s="36"/>
      <c r="U303" s="36"/>
      <c r="V303" s="36"/>
      <c r="W303" s="36"/>
      <c r="X303" s="36"/>
      <c r="Y303" s="36"/>
      <c r="Z303" s="36"/>
      <c r="AA303" s="36"/>
      <c r="AB303" s="36"/>
      <c r="AC303" s="36"/>
      <c r="AD303" s="36"/>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4" spans="2:57" s="31" customFormat="1" ht="15.5" x14ac:dyDescent="0.3">
      <c r="B304" s="170" t="s">
        <v>572</v>
      </c>
      <c r="C304" s="160"/>
      <c r="D304" s="84" t="s">
        <v>8</v>
      </c>
      <c r="E304" s="34"/>
      <c r="F304" s="34"/>
      <c r="G304" s="34"/>
      <c r="H304" s="84"/>
      <c r="J304" s="33" t="s">
        <v>560</v>
      </c>
      <c r="K304" s="96" t="str">
        <f>IF(ISNUMBER(L304),L304,"")</f>
        <v/>
      </c>
      <c r="L304" s="185"/>
      <c r="M304" s="41" t="s">
        <v>277</v>
      </c>
      <c r="N304" s="41"/>
      <c r="O304" s="265"/>
      <c r="Q304" s="35"/>
      <c r="R304" s="109" t="str">
        <f>IF(AND(ISNUMBER(K304),ISNUMBER(C304)),-K304*C304,"")</f>
        <v/>
      </c>
      <c r="S304" s="102" t="s">
        <v>172</v>
      </c>
      <c r="T304" s="135" t="s">
        <v>383</v>
      </c>
      <c r="U304" s="36"/>
      <c r="V304" s="36"/>
      <c r="W304" s="36"/>
      <c r="X304" s="36"/>
      <c r="Y304" s="36"/>
      <c r="Z304" s="36"/>
      <c r="AA304" s="36"/>
      <c r="AB304" s="36"/>
      <c r="AC304" s="36"/>
      <c r="AD304" s="36"/>
      <c r="AE304" s="36"/>
      <c r="AF304" s="36"/>
      <c r="AG304" s="36"/>
      <c r="AH304" s="36"/>
      <c r="AI304" s="36"/>
      <c r="AJ304" s="36"/>
      <c r="AK304" s="36"/>
      <c r="AL304" s="36"/>
      <c r="AM304" s="36"/>
      <c r="AN304" s="37"/>
      <c r="AO304" s="37"/>
      <c r="AP304" s="37"/>
      <c r="AQ304" s="37"/>
      <c r="AR304" s="37"/>
      <c r="AS304" s="37"/>
      <c r="AT304" s="37"/>
      <c r="AU304" s="37"/>
      <c r="AV304" s="37"/>
      <c r="AW304" s="37"/>
      <c r="AX304" s="37"/>
      <c r="AY304" s="37"/>
      <c r="AZ304" s="37"/>
      <c r="BA304" s="37"/>
      <c r="BB304" s="37"/>
      <c r="BC304" s="37"/>
      <c r="BD304" s="37"/>
      <c r="BE304" s="37"/>
    </row>
    <row r="305" spans="2:59" s="31" customFormat="1" ht="15.5" x14ac:dyDescent="0.3">
      <c r="B305" s="170" t="s">
        <v>571</v>
      </c>
      <c r="C305" s="160"/>
      <c r="D305" s="84" t="s">
        <v>8</v>
      </c>
      <c r="E305" s="34"/>
      <c r="F305" s="34"/>
      <c r="G305" s="34"/>
      <c r="H305" s="84"/>
      <c r="J305" s="33" t="s">
        <v>564</v>
      </c>
      <c r="K305" s="96" t="str">
        <f>IF(ISNUMBER(L305),L305,"")</f>
        <v/>
      </c>
      <c r="L305" s="185"/>
      <c r="M305" s="41" t="s">
        <v>277</v>
      </c>
      <c r="N305" s="41"/>
      <c r="O305" s="265"/>
      <c r="Q305" s="35"/>
      <c r="R305" s="109" t="str">
        <f>IF(AND(ISNUMBER(K305),ISNUMBER(C305)),-K305*C305,"")</f>
        <v/>
      </c>
      <c r="S305" s="102" t="s">
        <v>172</v>
      </c>
      <c r="T305" s="135" t="s">
        <v>383</v>
      </c>
      <c r="U305" s="36"/>
      <c r="V305" s="36"/>
      <c r="W305" s="36"/>
      <c r="X305" s="36"/>
      <c r="Y305" s="36"/>
      <c r="Z305" s="36"/>
      <c r="AA305" s="36"/>
      <c r="AB305" s="36"/>
      <c r="AC305" s="36"/>
      <c r="AD305" s="36"/>
      <c r="AE305" s="36"/>
      <c r="AF305" s="36"/>
      <c r="AG305" s="36"/>
      <c r="AH305" s="36"/>
      <c r="AI305" s="36"/>
      <c r="AJ305" s="36"/>
      <c r="AK305" s="36"/>
      <c r="AL305" s="36"/>
      <c r="AM305" s="36"/>
      <c r="AN305" s="37"/>
      <c r="AO305" s="37"/>
      <c r="AP305" s="37"/>
      <c r="AQ305" s="37"/>
      <c r="AR305" s="37"/>
      <c r="AS305" s="37"/>
      <c r="AT305" s="37"/>
      <c r="AU305" s="37"/>
      <c r="AV305" s="37"/>
      <c r="AW305" s="37"/>
      <c r="AX305" s="37"/>
      <c r="AY305" s="37"/>
      <c r="AZ305" s="37"/>
      <c r="BA305" s="37"/>
      <c r="BB305" s="37"/>
      <c r="BC305" s="37"/>
      <c r="BD305" s="37"/>
      <c r="BE305" s="37"/>
    </row>
    <row r="306" spans="2:59" s="31" customFormat="1" ht="15.5" x14ac:dyDescent="0.3">
      <c r="B306" s="136" t="s">
        <v>559</v>
      </c>
      <c r="C306" s="66"/>
      <c r="D306" s="84" t="s">
        <v>52</v>
      </c>
      <c r="G306" s="34"/>
      <c r="H306" s="84"/>
      <c r="J306" s="33" t="s">
        <v>382</v>
      </c>
      <c r="K306" s="138">
        <f>IF(ISNUMBER(L306),L306,Muut!$H$30)</f>
        <v>33.857142857142854</v>
      </c>
      <c r="L306" s="63"/>
      <c r="M306" s="41" t="s">
        <v>277</v>
      </c>
      <c r="N306" s="41"/>
      <c r="O306" s="265"/>
      <c r="Q306" s="35"/>
      <c r="R306" s="109" t="str">
        <f>IF(AND(ISNUMBER(K306),ISNUMBER(C306)),K306*C306,"")</f>
        <v/>
      </c>
      <c r="S306" s="102" t="s">
        <v>172</v>
      </c>
      <c r="T306" s="36"/>
      <c r="U306" s="36"/>
      <c r="V306" s="36"/>
      <c r="W306" s="36"/>
      <c r="X306" s="36"/>
      <c r="Y306" s="36"/>
      <c r="Z306" s="36"/>
      <c r="AA306" s="36"/>
      <c r="AB306" s="36"/>
      <c r="AC306" s="36"/>
      <c r="AD306" s="36"/>
      <c r="AE306" s="36"/>
      <c r="AF306" s="36"/>
      <c r="AG306" s="36"/>
      <c r="AH306" s="36"/>
      <c r="AI306" s="36"/>
      <c r="AJ306" s="36"/>
      <c r="AK306" s="36"/>
      <c r="AL306" s="36"/>
      <c r="AM306" s="36"/>
      <c r="AN306" s="37"/>
      <c r="AO306" s="37"/>
      <c r="AP306" s="37"/>
      <c r="AQ306" s="37"/>
      <c r="AR306" s="37"/>
      <c r="AS306" s="37"/>
      <c r="AT306" s="37"/>
      <c r="AU306" s="37"/>
      <c r="AV306" s="37"/>
      <c r="AW306" s="37"/>
      <c r="AX306" s="37"/>
      <c r="AY306" s="37"/>
      <c r="AZ306" s="37"/>
      <c r="BA306" s="37"/>
      <c r="BB306" s="37"/>
      <c r="BC306" s="37"/>
      <c r="BD306" s="37"/>
      <c r="BE306" s="37"/>
    </row>
    <row r="307" spans="2:59" s="31" customFormat="1" ht="15.5" x14ac:dyDescent="0.3">
      <c r="B307" s="170" t="s">
        <v>572</v>
      </c>
      <c r="C307" s="160"/>
      <c r="D307" s="84" t="s">
        <v>8</v>
      </c>
      <c r="E307" s="34"/>
      <c r="F307" s="34"/>
      <c r="G307" s="34"/>
      <c r="H307" s="84"/>
      <c r="J307" s="33" t="s">
        <v>560</v>
      </c>
      <c r="K307" s="96" t="str">
        <f>IF(ISNUMBER(L307),L307,"")</f>
        <v/>
      </c>
      <c r="L307" s="185"/>
      <c r="M307" s="41" t="s">
        <v>277</v>
      </c>
      <c r="N307" s="41"/>
      <c r="O307" s="265"/>
      <c r="Q307" s="35"/>
      <c r="R307" s="109" t="str">
        <f>IF(AND(ISNUMBER(K307),ISNUMBER(C307)),-K307*C307,"")</f>
        <v/>
      </c>
      <c r="S307" s="102" t="s">
        <v>172</v>
      </c>
      <c r="T307" s="135" t="s">
        <v>383</v>
      </c>
      <c r="U307" s="36"/>
      <c r="V307" s="36"/>
      <c r="W307" s="36"/>
      <c r="X307" s="36"/>
      <c r="Y307" s="36"/>
      <c r="Z307" s="36"/>
      <c r="AA307" s="36"/>
      <c r="AB307" s="36"/>
      <c r="AC307" s="36"/>
      <c r="AD307" s="36"/>
      <c r="AE307" s="36"/>
      <c r="AF307" s="36"/>
      <c r="AG307" s="36"/>
      <c r="AH307" s="36"/>
      <c r="AI307" s="36"/>
      <c r="AJ307" s="36"/>
      <c r="AK307" s="36"/>
      <c r="AL307" s="36"/>
      <c r="AM307" s="36"/>
      <c r="AN307" s="37"/>
      <c r="AO307" s="37"/>
      <c r="AP307" s="37"/>
      <c r="AQ307" s="37"/>
      <c r="AR307" s="37"/>
      <c r="AS307" s="37"/>
      <c r="AT307" s="37"/>
      <c r="AU307" s="37"/>
      <c r="AV307" s="37"/>
      <c r="AW307" s="37"/>
      <c r="AX307" s="37"/>
      <c r="AY307" s="37"/>
      <c r="AZ307" s="37"/>
      <c r="BA307" s="37"/>
      <c r="BB307" s="37"/>
      <c r="BC307" s="37"/>
      <c r="BD307" s="37"/>
      <c r="BE307" s="37"/>
    </row>
    <row r="308" spans="2:59" s="31" customFormat="1" ht="15.5" x14ac:dyDescent="0.3">
      <c r="B308" s="170" t="s">
        <v>571</v>
      </c>
      <c r="C308" s="160"/>
      <c r="D308" s="84" t="s">
        <v>8</v>
      </c>
      <c r="E308" s="34"/>
      <c r="F308" s="34"/>
      <c r="G308" s="34"/>
      <c r="H308" s="84"/>
      <c r="J308" s="33" t="s">
        <v>564</v>
      </c>
      <c r="K308" s="96" t="str">
        <f>IF(ISNUMBER(L308),L308,"")</f>
        <v/>
      </c>
      <c r="L308" s="185"/>
      <c r="M308" s="41" t="s">
        <v>277</v>
      </c>
      <c r="N308" s="41"/>
      <c r="O308" s="265"/>
      <c r="Q308" s="35"/>
      <c r="R308" s="109" t="str">
        <f>IF(AND(ISNUMBER(K308),ISNUMBER(C308)),-K308*C308,"")</f>
        <v/>
      </c>
      <c r="S308" s="102" t="s">
        <v>172</v>
      </c>
      <c r="T308" s="135" t="s">
        <v>383</v>
      </c>
      <c r="U308" s="36"/>
      <c r="V308" s="36"/>
      <c r="W308" s="36"/>
      <c r="X308" s="36"/>
      <c r="Y308" s="36"/>
      <c r="Z308" s="36"/>
      <c r="AA308" s="36"/>
      <c r="AB308" s="36"/>
      <c r="AC308" s="36"/>
      <c r="AD308" s="36"/>
      <c r="AE308" s="36"/>
      <c r="AF308" s="36"/>
      <c r="AG308" s="36"/>
      <c r="AH308" s="36"/>
      <c r="AI308" s="36"/>
      <c r="AJ308" s="36"/>
      <c r="AK308" s="36"/>
      <c r="AL308" s="36"/>
      <c r="AM308" s="36"/>
      <c r="AN308" s="37"/>
      <c r="AO308" s="37"/>
      <c r="AP308" s="37"/>
      <c r="AQ308" s="37"/>
      <c r="AR308" s="37"/>
      <c r="AS308" s="37"/>
      <c r="AT308" s="37"/>
      <c r="AU308" s="37"/>
      <c r="AV308" s="37"/>
      <c r="AW308" s="37"/>
      <c r="AX308" s="37"/>
      <c r="AY308" s="37"/>
      <c r="AZ308" s="37"/>
      <c r="BA308" s="37"/>
      <c r="BB308" s="37"/>
      <c r="BC308" s="37"/>
      <c r="BD308" s="37"/>
      <c r="BE308" s="37"/>
    </row>
    <row r="309" spans="2:59" s="31" customFormat="1" ht="15.5" x14ac:dyDescent="0.3">
      <c r="C309" s="34"/>
      <c r="D309" s="84"/>
      <c r="G309" s="34"/>
      <c r="H309" s="84"/>
      <c r="J309" s="33"/>
      <c r="K309" s="34"/>
      <c r="L309" s="34"/>
      <c r="M309" s="84"/>
      <c r="N309" s="84"/>
      <c r="O309" s="100"/>
      <c r="Q309" s="35"/>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7"/>
      <c r="AO309" s="37"/>
      <c r="AP309" s="37"/>
      <c r="AQ309" s="37"/>
      <c r="AR309" s="37"/>
      <c r="AS309" s="37"/>
      <c r="AT309" s="37"/>
      <c r="AU309" s="37"/>
      <c r="AV309" s="37"/>
      <c r="AW309" s="37"/>
      <c r="AX309" s="37"/>
      <c r="AY309" s="37"/>
      <c r="AZ309" s="37"/>
      <c r="BA309" s="37"/>
      <c r="BB309" s="37"/>
      <c r="BC309" s="37"/>
      <c r="BD309" s="37"/>
      <c r="BE309" s="37"/>
    </row>
    <row r="310" spans="2:59" s="31" customFormat="1" ht="15.5" x14ac:dyDescent="0.3">
      <c r="B310" s="9" t="s">
        <v>11</v>
      </c>
      <c r="C310" s="34"/>
      <c r="D310" s="84"/>
      <c r="G310" s="34"/>
      <c r="H310" s="84"/>
      <c r="J310" s="33"/>
      <c r="K310" s="38"/>
      <c r="L310" s="38"/>
      <c r="M310" s="84"/>
      <c r="N310" s="84"/>
      <c r="O310" s="100"/>
      <c r="Q310" s="35"/>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7"/>
      <c r="AO310" s="37"/>
      <c r="AP310" s="37"/>
      <c r="AQ310" s="37"/>
      <c r="AR310" s="37"/>
      <c r="AS310" s="37"/>
      <c r="AT310" s="37"/>
      <c r="AU310" s="37"/>
      <c r="AV310" s="37"/>
      <c r="AW310" s="37"/>
      <c r="AX310" s="37"/>
      <c r="AY310" s="37"/>
      <c r="AZ310" s="37"/>
      <c r="BA310" s="37"/>
      <c r="BB310" s="37"/>
      <c r="BC310" s="37"/>
      <c r="BD310" s="37"/>
      <c r="BE310" s="37"/>
    </row>
    <row r="311" spans="2:59" s="31" customFormat="1" ht="15.5" x14ac:dyDescent="0.3">
      <c r="B311" s="9"/>
      <c r="C311" s="34"/>
      <c r="D311" s="84"/>
      <c r="G311" s="34"/>
      <c r="H311" s="84"/>
      <c r="J311" s="33"/>
      <c r="K311" s="38" t="s">
        <v>329</v>
      </c>
      <c r="L311" s="38" t="s">
        <v>201</v>
      </c>
      <c r="M311" s="84"/>
      <c r="N311" s="84"/>
      <c r="O311" s="100"/>
      <c r="Q311" s="35"/>
      <c r="R311" s="36" t="s">
        <v>350</v>
      </c>
      <c r="S311" s="36"/>
      <c r="T311" s="36"/>
      <c r="U311" s="36"/>
      <c r="V311" s="36"/>
      <c r="W311" s="36"/>
      <c r="X311" s="36"/>
      <c r="Y311" s="36"/>
      <c r="Z311" s="36"/>
      <c r="AA311" s="36"/>
      <c r="AB311" s="36"/>
      <c r="AC311" s="36"/>
      <c r="AD311" s="36"/>
      <c r="AE311" s="36"/>
      <c r="AF311" s="36"/>
      <c r="AG311" s="36"/>
      <c r="AH311" s="36"/>
      <c r="AI311" s="36"/>
      <c r="AJ311" s="36"/>
      <c r="AK311" s="36"/>
      <c r="AL311" s="36"/>
      <c r="AM311" s="36"/>
      <c r="AN311" s="37"/>
      <c r="AO311" s="37"/>
      <c r="AP311" s="37"/>
      <c r="AQ311" s="37"/>
      <c r="AR311" s="37"/>
      <c r="AS311" s="37"/>
      <c r="AT311" s="37"/>
      <c r="AU311" s="37"/>
      <c r="AV311" s="37"/>
      <c r="AW311" s="37"/>
      <c r="AX311" s="37"/>
      <c r="AY311" s="37"/>
      <c r="AZ311" s="37"/>
      <c r="BA311" s="37"/>
      <c r="BB311" s="37"/>
      <c r="BC311" s="37"/>
      <c r="BD311" s="37"/>
      <c r="BE311" s="37"/>
    </row>
    <row r="312" spans="2:59" s="31" customFormat="1" ht="31" x14ac:dyDescent="0.3">
      <c r="B312" s="78" t="s">
        <v>515</v>
      </c>
      <c r="C312" s="160"/>
      <c r="D312" s="84" t="s">
        <v>175</v>
      </c>
      <c r="G312" s="34"/>
      <c r="H312" s="84"/>
      <c r="J312" s="33" t="s">
        <v>565</v>
      </c>
      <c r="K312" s="96">
        <f>IF(ISNUMBER(L312),L312,Muut!$H$28*IF(OR(C313=Pudotusvalikot!$V$3,C313=Pudotusvalikot!$V$4),Muut!$E$38,IF(C313=Pudotusvalikot!$V$5,Muut!$E$39,IF(C313=Pudotusvalikot!$V$6,Muut!$E$40,Muut!$E$41))))</f>
        <v>0.22753333333333334</v>
      </c>
      <c r="L312" s="63"/>
      <c r="M312" s="41" t="s">
        <v>226</v>
      </c>
      <c r="N312" s="41"/>
      <c r="O312" s="265"/>
      <c r="Q312" s="35"/>
      <c r="R312" s="109" t="str">
        <f>IF(AND(ISNUMBER(K312),ISNUMBER(C312)),K312*C312,"")</f>
        <v/>
      </c>
      <c r="S312" s="102" t="s">
        <v>172</v>
      </c>
      <c r="T312" s="61"/>
      <c r="U312" s="61"/>
      <c r="V312" s="61"/>
      <c r="W312" s="36"/>
      <c r="X312" s="36"/>
      <c r="Y312" s="36"/>
      <c r="Z312" s="36"/>
      <c r="AA312" s="36"/>
      <c r="AB312" s="36"/>
      <c r="AC312" s="36"/>
      <c r="AD312" s="36"/>
      <c r="AE312" s="36"/>
      <c r="AF312" s="36"/>
      <c r="AG312" s="36"/>
      <c r="AH312" s="36"/>
      <c r="AI312" s="36"/>
      <c r="AJ312" s="36"/>
      <c r="AK312" s="36"/>
      <c r="AL312" s="36"/>
      <c r="AM312" s="36"/>
      <c r="AN312" s="37"/>
      <c r="AO312" s="37"/>
      <c r="AP312" s="37"/>
      <c r="AQ312" s="37"/>
      <c r="AR312" s="37"/>
      <c r="AS312" s="37"/>
      <c r="AT312" s="37"/>
      <c r="AU312" s="37"/>
      <c r="AV312" s="37"/>
      <c r="AW312" s="37"/>
      <c r="AX312" s="37"/>
      <c r="AY312" s="37"/>
      <c r="AZ312" s="37"/>
      <c r="BA312" s="37"/>
      <c r="BB312" s="37"/>
      <c r="BC312" s="37"/>
      <c r="BD312" s="37"/>
      <c r="BE312" s="37"/>
    </row>
    <row r="313" spans="2:59" s="31" customFormat="1" ht="15.5" x14ac:dyDescent="0.3">
      <c r="B313" s="170" t="s">
        <v>509</v>
      </c>
      <c r="C313" s="160" t="s">
        <v>242</v>
      </c>
      <c r="D313" s="34"/>
      <c r="E313" s="34"/>
      <c r="F313" s="34"/>
      <c r="G313" s="34"/>
      <c r="H313" s="59"/>
      <c r="J313" s="173"/>
      <c r="K313" s="173"/>
      <c r="L313" s="173"/>
      <c r="M313" s="41"/>
      <c r="N313" s="41"/>
      <c r="O313" s="265"/>
      <c r="Q313" s="47"/>
      <c r="R313" s="61"/>
      <c r="S313" s="102"/>
      <c r="T313" s="36"/>
      <c r="U313" s="36"/>
      <c r="V313" s="181"/>
      <c r="W313" s="181"/>
      <c r="X313" s="61"/>
      <c r="Y313" s="36"/>
      <c r="Z313" s="61"/>
      <c r="AA313" s="182"/>
      <c r="AB313" s="61"/>
      <c r="AC313" s="61"/>
      <c r="AD313" s="61"/>
      <c r="AE313" s="61"/>
      <c r="AF313" s="182"/>
      <c r="AG313" s="61"/>
      <c r="AH313" s="36"/>
      <c r="AI313" s="36"/>
      <c r="AJ313" s="36"/>
      <c r="AK313" s="108"/>
      <c r="AL313" s="36"/>
      <c r="AM313" s="36"/>
      <c r="AN313" s="37"/>
      <c r="AO313" s="37"/>
      <c r="AP313" s="37"/>
      <c r="AQ313" s="37"/>
      <c r="AR313" s="37"/>
      <c r="AS313" s="37"/>
      <c r="AT313" s="37"/>
      <c r="AU313" s="37"/>
      <c r="AV313" s="37"/>
      <c r="AW313" s="37"/>
      <c r="AX313" s="37"/>
      <c r="AY313" s="37"/>
      <c r="AZ313" s="37"/>
      <c r="BA313" s="37"/>
      <c r="BB313" s="37"/>
      <c r="BC313" s="37"/>
      <c r="BD313" s="37"/>
      <c r="BE313" s="37"/>
    </row>
    <row r="314" spans="2:59" s="31" customFormat="1" ht="46.5" x14ac:dyDescent="0.3">
      <c r="B314" s="78" t="s">
        <v>596</v>
      </c>
      <c r="C314" s="160"/>
      <c r="D314" s="84" t="s">
        <v>175</v>
      </c>
      <c r="G314" s="34"/>
      <c r="H314" s="84"/>
      <c r="J314" s="33" t="s">
        <v>522</v>
      </c>
      <c r="K314" s="138">
        <f>IF(ISNUMBER(L314),L314,Muut!$H$29)</f>
        <v>9.4500000000000011</v>
      </c>
      <c r="L314" s="185"/>
      <c r="M314" s="41" t="s">
        <v>226</v>
      </c>
      <c r="N314" s="41"/>
      <c r="O314" s="265"/>
      <c r="Q314" s="35"/>
      <c r="R314" s="109" t="str">
        <f>IF(AND(ISNUMBER(K314),ISNUMBER(C314)),K314*C314,"")</f>
        <v/>
      </c>
      <c r="S314" s="102" t="s">
        <v>172</v>
      </c>
      <c r="T314" s="36"/>
      <c r="U314" s="36"/>
      <c r="V314" s="36"/>
      <c r="W314" s="36"/>
      <c r="X314" s="36"/>
      <c r="Y314" s="36"/>
      <c r="Z314" s="36"/>
      <c r="AA314" s="36"/>
      <c r="AB314" s="36"/>
      <c r="AC314" s="36"/>
      <c r="AD314" s="36"/>
      <c r="AE314" s="36"/>
      <c r="AF314" s="36"/>
      <c r="AG314" s="36"/>
      <c r="AH314" s="36"/>
      <c r="AI314" s="36"/>
      <c r="AJ314" s="36"/>
      <c r="AK314" s="36"/>
      <c r="AL314" s="36"/>
      <c r="AM314" s="36"/>
      <c r="AN314" s="37"/>
      <c r="AO314" s="37"/>
      <c r="AP314" s="37"/>
      <c r="AQ314" s="37"/>
      <c r="AR314" s="37"/>
      <c r="AS314" s="37"/>
      <c r="AT314" s="37"/>
      <c r="AU314" s="37"/>
      <c r="AV314" s="37"/>
      <c r="AW314" s="37"/>
      <c r="AX314" s="37"/>
      <c r="AY314" s="37"/>
      <c r="AZ314" s="37"/>
      <c r="BA314" s="37"/>
      <c r="BB314" s="37"/>
      <c r="BC314" s="37"/>
      <c r="BD314" s="37"/>
      <c r="BE314" s="37"/>
    </row>
    <row r="315" spans="2:59" s="31" customFormat="1" ht="15.5" x14ac:dyDescent="0.3">
      <c r="B315" s="170" t="s">
        <v>572</v>
      </c>
      <c r="C315" s="160"/>
      <c r="D315" s="84" t="s">
        <v>8</v>
      </c>
      <c r="E315" s="34"/>
      <c r="F315" s="34"/>
      <c r="G315" s="34"/>
      <c r="H315" s="84"/>
      <c r="J315" s="33" t="s">
        <v>523</v>
      </c>
      <c r="K315" s="112">
        <f>IF(ISNUMBER(L315),L315,Muut!$H$31)</f>
        <v>9.4500000000000011</v>
      </c>
      <c r="L315" s="185"/>
      <c r="M315" s="41" t="s">
        <v>226</v>
      </c>
      <c r="N315" s="41"/>
      <c r="O315" s="265"/>
      <c r="Q315" s="35"/>
      <c r="R315" s="109" t="str">
        <f>IF(AND(ISNUMBER(K315),ISNUMBER(C314)),-K315*C314,"")</f>
        <v/>
      </c>
      <c r="S315" s="102" t="s">
        <v>172</v>
      </c>
      <c r="T315" s="102" t="s">
        <v>524</v>
      </c>
      <c r="U315" s="36"/>
      <c r="V315" s="36"/>
      <c r="W315" s="36"/>
      <c r="X315" s="36"/>
      <c r="Y315" s="36"/>
      <c r="Z315" s="36"/>
      <c r="AA315" s="36"/>
      <c r="AB315" s="36"/>
      <c r="AC315" s="36"/>
      <c r="AD315" s="36"/>
      <c r="AE315" s="36"/>
      <c r="AF315" s="36"/>
      <c r="AG315" s="36"/>
      <c r="AH315" s="36"/>
      <c r="AI315" s="36"/>
      <c r="AJ315" s="36"/>
      <c r="AK315" s="36"/>
      <c r="AL315" s="36"/>
      <c r="AM315" s="36"/>
      <c r="AN315" s="37"/>
      <c r="AO315" s="37"/>
      <c r="AP315" s="37"/>
      <c r="AQ315" s="37"/>
      <c r="AR315" s="37"/>
      <c r="AS315" s="37"/>
      <c r="AT315" s="37"/>
      <c r="AU315" s="37"/>
      <c r="AV315" s="37"/>
      <c r="AW315" s="37"/>
      <c r="AX315" s="37"/>
      <c r="AY315" s="37"/>
      <c r="AZ315" s="37"/>
      <c r="BA315" s="37"/>
      <c r="BB315" s="37"/>
      <c r="BC315" s="37"/>
      <c r="BD315" s="37"/>
      <c r="BE315" s="37"/>
    </row>
    <row r="316" spans="2:59" s="31" customFormat="1" ht="15.5" x14ac:dyDescent="0.3">
      <c r="B316" s="34"/>
      <c r="C316" s="34"/>
      <c r="D316" s="34"/>
      <c r="E316" s="34"/>
      <c r="F316" s="34"/>
      <c r="G316" s="34"/>
      <c r="H316" s="84"/>
      <c r="J316" s="33"/>
      <c r="K316" s="42"/>
      <c r="L316" s="42"/>
      <c r="M316" s="41"/>
      <c r="N316" s="41"/>
      <c r="O316" s="41"/>
      <c r="Q316" s="35"/>
      <c r="R316" s="61"/>
      <c r="S316" s="102"/>
      <c r="T316" s="135"/>
      <c r="U316" s="36"/>
      <c r="V316" s="36"/>
      <c r="W316" s="36"/>
      <c r="X316" s="36"/>
      <c r="Y316" s="36"/>
      <c r="Z316" s="36"/>
      <c r="AA316" s="36"/>
      <c r="AB316" s="36"/>
      <c r="AC316" s="36"/>
      <c r="AD316" s="36"/>
      <c r="AE316" s="36"/>
      <c r="AF316" s="36"/>
      <c r="AG316" s="36"/>
      <c r="AH316" s="36"/>
      <c r="AI316" s="36"/>
      <c r="AJ316" s="36"/>
      <c r="AK316" s="36"/>
      <c r="AL316" s="36"/>
      <c r="AM316" s="36"/>
      <c r="AN316" s="37"/>
      <c r="AO316" s="37"/>
      <c r="AP316" s="37"/>
      <c r="AQ316" s="37"/>
      <c r="AR316" s="37"/>
      <c r="AS316" s="37"/>
      <c r="AT316" s="37"/>
      <c r="AU316" s="37"/>
      <c r="AV316" s="37"/>
      <c r="AW316" s="37"/>
      <c r="AX316" s="37"/>
      <c r="AY316" s="37"/>
      <c r="AZ316" s="37"/>
      <c r="BA316" s="37"/>
      <c r="BB316" s="37"/>
      <c r="BC316" s="37"/>
      <c r="BD316" s="37"/>
      <c r="BE316" s="37"/>
      <c r="BF316" s="108"/>
      <c r="BG316" s="108"/>
    </row>
    <row r="317" spans="2:59" s="196" customFormat="1" ht="23" x14ac:dyDescent="0.3">
      <c r="B317" s="197" t="s">
        <v>616</v>
      </c>
      <c r="C317" s="198"/>
      <c r="D317" s="199"/>
      <c r="G317" s="198"/>
      <c r="H317" s="199"/>
      <c r="J317" s="200"/>
      <c r="P317" s="201"/>
      <c r="Q317" s="202"/>
      <c r="R317" s="203"/>
      <c r="S317" s="202"/>
      <c r="T317" s="204"/>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4"/>
      <c r="AQ317" s="204"/>
      <c r="AR317" s="204"/>
      <c r="AS317" s="204"/>
      <c r="AT317" s="204"/>
      <c r="AU317" s="204"/>
      <c r="AV317" s="204"/>
      <c r="AW317" s="204"/>
      <c r="AX317" s="204"/>
      <c r="AY317" s="204"/>
      <c r="AZ317" s="204"/>
      <c r="BA317" s="204"/>
      <c r="BB317" s="204"/>
      <c r="BC317" s="204"/>
      <c r="BD317" s="204"/>
      <c r="BE317" s="204"/>
      <c r="BF317" s="204"/>
      <c r="BG317" s="204"/>
    </row>
    <row r="318" spans="2:59" s="31" customFormat="1" ht="15.5" x14ac:dyDescent="0.3">
      <c r="B318" s="34"/>
      <c r="C318" s="34"/>
      <c r="D318" s="34"/>
      <c r="E318" s="34"/>
      <c r="F318" s="34"/>
      <c r="G318" s="34"/>
      <c r="H318" s="84"/>
      <c r="J318" s="33"/>
      <c r="K318" s="42"/>
      <c r="L318" s="42"/>
      <c r="M318" s="41"/>
      <c r="N318" s="41"/>
      <c r="O318" s="41"/>
      <c r="Q318" s="35"/>
      <c r="R318" s="61"/>
      <c r="S318" s="102"/>
      <c r="T318" s="135"/>
      <c r="U318" s="36"/>
      <c r="V318" s="36"/>
      <c r="W318" s="36"/>
      <c r="X318" s="36"/>
      <c r="Y318" s="36"/>
      <c r="Z318" s="36"/>
      <c r="AA318" s="36"/>
      <c r="AB318" s="36"/>
      <c r="AC318" s="36"/>
      <c r="AD318" s="36"/>
      <c r="AE318" s="36"/>
      <c r="AF318" s="36"/>
      <c r="AG318" s="36"/>
      <c r="AH318" s="36"/>
      <c r="AI318" s="36"/>
      <c r="AJ318" s="36"/>
      <c r="AK318" s="36"/>
      <c r="AL318" s="36"/>
      <c r="AM318" s="36"/>
      <c r="AN318" s="37"/>
      <c r="AO318" s="37"/>
      <c r="AP318" s="37"/>
      <c r="AQ318" s="37"/>
      <c r="AR318" s="37"/>
      <c r="AS318" s="37"/>
      <c r="AT318" s="37"/>
      <c r="AU318" s="37"/>
      <c r="AV318" s="37"/>
      <c r="AW318" s="37"/>
      <c r="AX318" s="37"/>
      <c r="AY318" s="37"/>
      <c r="AZ318" s="37"/>
      <c r="BA318" s="37"/>
      <c r="BB318" s="37"/>
      <c r="BC318" s="37"/>
      <c r="BD318" s="37"/>
      <c r="BE318" s="37"/>
      <c r="BF318" s="108"/>
      <c r="BG318" s="108"/>
    </row>
    <row r="319" spans="2:59" s="298" customFormat="1" ht="18" x14ac:dyDescent="0.3">
      <c r="B319" s="295" t="s">
        <v>42</v>
      </c>
      <c r="C319" s="296"/>
      <c r="D319" s="297"/>
      <c r="G319" s="296"/>
      <c r="H319" s="297"/>
      <c r="K319" s="296"/>
      <c r="L319" s="296"/>
      <c r="M319" s="297"/>
      <c r="N319" s="297"/>
      <c r="O319" s="300"/>
      <c r="P319" s="320"/>
      <c r="Q319" s="304"/>
      <c r="R319" s="298" t="str">
        <f>IF(OR(ISNUMBER(#REF!),ISNUMBER(#REF!),ISNUMBER(#REF!)),SUM(#REF!,#REF!,#REF!),"")</f>
        <v/>
      </c>
      <c r="S319" s="303"/>
      <c r="T319" s="303"/>
      <c r="U319" s="303"/>
      <c r="V319" s="303"/>
      <c r="W319" s="303"/>
      <c r="X319" s="303"/>
      <c r="Y319" s="303"/>
      <c r="Z319" s="303"/>
      <c r="AA319" s="303"/>
      <c r="AB319" s="303"/>
      <c r="AC319" s="303"/>
      <c r="AD319" s="303"/>
      <c r="AE319" s="303"/>
      <c r="AF319" s="303"/>
      <c r="AG319" s="303"/>
      <c r="AH319" s="303"/>
      <c r="AI319" s="303"/>
      <c r="AJ319" s="303"/>
      <c r="AK319" s="303"/>
      <c r="AL319" s="303"/>
      <c r="AM319" s="303"/>
      <c r="AN319" s="304"/>
      <c r="AO319" s="304"/>
      <c r="AP319" s="304"/>
      <c r="AQ319" s="304"/>
      <c r="AR319" s="304"/>
      <c r="AS319" s="304"/>
      <c r="AT319" s="304"/>
      <c r="AU319" s="304"/>
      <c r="AV319" s="304"/>
      <c r="AW319" s="304"/>
      <c r="AX319" s="304"/>
      <c r="AY319" s="304"/>
      <c r="AZ319" s="304"/>
      <c r="BA319" s="304"/>
      <c r="BB319" s="304"/>
      <c r="BC319" s="304"/>
      <c r="BD319" s="304"/>
      <c r="BE319" s="304"/>
    </row>
    <row r="320" spans="2:59" ht="13.9" customHeight="1" x14ac:dyDescent="0.3">
      <c r="O320" s="255" t="s">
        <v>644</v>
      </c>
    </row>
    <row r="321" spans="2:57" s="31" customFormat="1" ht="15.5" x14ac:dyDescent="0.3">
      <c r="B321" s="9"/>
      <c r="C321" s="34"/>
      <c r="D321" s="84"/>
      <c r="G321" s="34" t="s">
        <v>43</v>
      </c>
      <c r="H321" s="84"/>
      <c r="K321" s="38" t="s">
        <v>329</v>
      </c>
      <c r="L321" s="38" t="s">
        <v>201</v>
      </c>
      <c r="M321" s="84"/>
      <c r="N321" s="84"/>
      <c r="O321" s="256"/>
      <c r="Q321" s="35"/>
      <c r="R321" s="36" t="s">
        <v>350</v>
      </c>
      <c r="S321" s="36"/>
      <c r="T321" s="36" t="s">
        <v>267</v>
      </c>
      <c r="U321" s="36" t="s">
        <v>268</v>
      </c>
      <c r="V321" s="36" t="s">
        <v>269</v>
      </c>
      <c r="W321" s="36" t="s">
        <v>272</v>
      </c>
      <c r="X321" s="36" t="s">
        <v>270</v>
      </c>
      <c r="Y321" s="36" t="s">
        <v>271</v>
      </c>
      <c r="Z321" s="36" t="s">
        <v>273</v>
      </c>
      <c r="AA321" s="108"/>
      <c r="AB321" s="36"/>
      <c r="AC321" s="36"/>
      <c r="AD321" s="36"/>
      <c r="AE321" s="36"/>
      <c r="AF321" s="36"/>
      <c r="AG321" s="36"/>
      <c r="AH321" s="36"/>
      <c r="AI321" s="36"/>
      <c r="AJ321" s="36"/>
      <c r="AK321" s="36"/>
      <c r="AL321" s="36"/>
      <c r="AM321" s="36"/>
      <c r="AN321" s="37"/>
      <c r="AO321" s="37"/>
      <c r="AP321" s="37"/>
      <c r="AQ321" s="37"/>
      <c r="AR321" s="37"/>
      <c r="AS321" s="37"/>
      <c r="AT321" s="37"/>
      <c r="AU321" s="37"/>
      <c r="AV321" s="37"/>
      <c r="AW321" s="37"/>
      <c r="AX321" s="37"/>
      <c r="AY321" s="37"/>
      <c r="AZ321" s="37"/>
      <c r="BA321" s="37"/>
      <c r="BB321" s="37"/>
      <c r="BC321" s="37"/>
      <c r="BD321" s="37"/>
      <c r="BE321" s="37"/>
    </row>
    <row r="322" spans="2:57" s="31" customFormat="1" ht="15.5" x14ac:dyDescent="0.3">
      <c r="B322" s="54" t="s">
        <v>578</v>
      </c>
      <c r="C322" s="160"/>
      <c r="D322" s="84" t="s">
        <v>234</v>
      </c>
      <c r="G322" s="160"/>
      <c r="H322" s="84" t="s">
        <v>44</v>
      </c>
      <c r="J322" s="33" t="s">
        <v>566</v>
      </c>
      <c r="K322" s="112">
        <f>IF(ISNUMBER(L322),L322,IF(C324=Pudotusvalikot!$J$4,Kalusto!$E$98,IF(C324=Pudotusvalikot!$J$5,Kalusto!$E$99,IF(C324=Pudotusvalikot!$J$6,Kalusto!$E$100,IF(C324=Pudotusvalikot!$J$7,Kalusto!$E$101,IF(C324=Pudotusvalikot!$J$8,Kalusto!$E$102,IF(C324=Pudotusvalikot!$J$9,Kalusto!$E$103,IF(C324=Pudotusvalikot!$J$11,Kalusto!$E$104,Kalusto!$E$98))))))))</f>
        <v>5.5</v>
      </c>
      <c r="L322" s="63"/>
      <c r="M322" s="77" t="str">
        <f>IF(C324=Pudotusvalikot!$J$9,"kWh/100 km",IF(C324=Pudotusvalikot!$J$6,"kg/100 km","l/100 km"))</f>
        <v>l/100 km</v>
      </c>
      <c r="N322" s="77"/>
      <c r="O322" s="269"/>
      <c r="Q322" s="35"/>
      <c r="R322" s="109">
        <f>SUM(U322:Z322)</f>
        <v>0</v>
      </c>
      <c r="S322" s="102" t="s">
        <v>172</v>
      </c>
      <c r="T322" s="48">
        <f>IF(ISNUMBER(C323*C322*G322),C323*C322*G322,"")</f>
        <v>0</v>
      </c>
      <c r="U322" s="50">
        <f>IF(ISNUMBER(T322),IF(C324=Pudotusvalikot!$J$5,(Muut!$H$15+Muut!$H$18)*(T322*K322/100),0),"")</f>
        <v>0</v>
      </c>
      <c r="V322" s="50">
        <f>IF(ISNUMBER(T322),IF(C324=Pudotusvalikot!$J$4,(Muut!$H$14+Muut!$H$17)*(T322*K322/100),0),"")</f>
        <v>0</v>
      </c>
      <c r="W322" s="50">
        <f>IF(ISNUMBER(T322),IF(C324=Pudotusvalikot!$J$6,(Muut!$H$16+Muut!$H$19)*(T322*K322/100),0),"")</f>
        <v>0</v>
      </c>
      <c r="X322" s="50">
        <f>IF(ISNUMBER(T322),IF(C324=Pudotusvalikot!$J$7,((Muut!$H$15+Muut!$H$18)*(100%-Kalusto!$O$101)+(Muut!$H$14+Muut!$H$17)*Kalusto!$O$101)*(T322*K322/100),0),"")</f>
        <v>0</v>
      </c>
      <c r="Y322" s="74">
        <f>IF(ISNUMBER(T322),IF(C324=Pudotusvalikot!$J$8,((Kalusto!$K$102)*(100%-Kalusto!$O$102)+(Kalusto!$M$102)*Kalusto!$O$102)*(Muut!$H$13+Muut!$H$12)/100*T322/1000+((Kalusto!$G$102)*(100%-Kalusto!$O$102)+(Kalusto!$I$102)*Kalusto!$O$102)*(K322+Muut!$H$18)/100*T322,0),"")</f>
        <v>0</v>
      </c>
      <c r="Z322" s="74">
        <f>IF(ISNUMBER(T322),IF(C324=Pudotusvalikot!$J$9,Kalusto!$E$103*(K322+Muut!$H$12)/100*T322/1000,0),"")</f>
        <v>0</v>
      </c>
      <c r="AA322" s="108"/>
      <c r="AB322" s="36"/>
      <c r="AC322" s="36"/>
      <c r="AD322" s="36"/>
      <c r="AE322" s="36"/>
      <c r="AF322" s="36"/>
      <c r="AG322" s="36"/>
      <c r="AH322" s="36"/>
      <c r="AI322" s="36"/>
      <c r="AJ322" s="36"/>
      <c r="AK322" s="36"/>
      <c r="AL322" s="36"/>
      <c r="AM322" s="36"/>
      <c r="AN322" s="37"/>
      <c r="AO322" s="37"/>
      <c r="AP322" s="37"/>
      <c r="AQ322" s="37"/>
      <c r="AR322" s="37"/>
      <c r="AS322" s="37"/>
      <c r="AT322" s="37"/>
      <c r="AU322" s="37"/>
      <c r="AV322" s="37"/>
      <c r="AW322" s="37"/>
      <c r="AX322" s="37"/>
      <c r="AY322" s="37"/>
      <c r="AZ322" s="37"/>
      <c r="BA322" s="37"/>
      <c r="BB322" s="37"/>
      <c r="BC322" s="37"/>
      <c r="BD322" s="37"/>
      <c r="BE322" s="37"/>
    </row>
    <row r="323" spans="2:57" s="31" customFormat="1" ht="15.5" x14ac:dyDescent="0.3">
      <c r="B323" s="54" t="s">
        <v>577</v>
      </c>
      <c r="C323" s="161"/>
      <c r="D323" s="84" t="s">
        <v>5</v>
      </c>
      <c r="G323" s="34"/>
      <c r="H323" s="84"/>
      <c r="J323" s="33"/>
      <c r="K323" s="34"/>
      <c r="L323" s="34"/>
      <c r="M323" s="84"/>
      <c r="N323" s="84"/>
      <c r="O323" s="100"/>
      <c r="Q323" s="35"/>
      <c r="R323" s="99"/>
      <c r="S323" s="36"/>
      <c r="T323" s="36"/>
      <c r="U323" s="36"/>
      <c r="V323" s="36"/>
      <c r="W323" s="36"/>
      <c r="X323" s="36"/>
      <c r="Y323" s="36"/>
      <c r="Z323" s="36"/>
      <c r="AA323" s="36"/>
      <c r="AB323" s="36"/>
      <c r="AC323" s="36"/>
      <c r="AD323" s="36"/>
      <c r="AE323" s="36"/>
      <c r="AF323" s="36"/>
      <c r="AG323" s="36"/>
      <c r="AH323" s="36"/>
      <c r="AI323" s="36"/>
      <c r="AJ323" s="36"/>
      <c r="AK323" s="36"/>
      <c r="AL323" s="36"/>
      <c r="AM323" s="36"/>
      <c r="AN323" s="37"/>
      <c r="AO323" s="37"/>
      <c r="AP323" s="37"/>
      <c r="AQ323" s="37"/>
      <c r="AR323" s="37"/>
      <c r="AS323" s="37"/>
      <c r="AT323" s="37"/>
      <c r="AU323" s="37"/>
      <c r="AV323" s="37"/>
      <c r="AW323" s="37"/>
      <c r="AX323" s="37"/>
      <c r="AY323" s="37"/>
      <c r="AZ323" s="37"/>
      <c r="BA323" s="37"/>
      <c r="BB323" s="37"/>
      <c r="BC323" s="37"/>
      <c r="BD323" s="37"/>
      <c r="BE323" s="37"/>
    </row>
    <row r="324" spans="2:57" s="31" customFormat="1" ht="15.5" x14ac:dyDescent="0.3">
      <c r="B324" s="54" t="s">
        <v>576</v>
      </c>
      <c r="C324" s="399" t="s">
        <v>242</v>
      </c>
      <c r="D324" s="399"/>
      <c r="G324" s="34"/>
      <c r="H324" s="84"/>
      <c r="J324" s="33"/>
      <c r="K324" s="34"/>
      <c r="L324" s="34"/>
      <c r="M324" s="84"/>
      <c r="N324" s="84"/>
      <c r="O324" s="84"/>
      <c r="Q324" s="35"/>
      <c r="R324" s="99"/>
      <c r="S324" s="36"/>
      <c r="T324" s="36"/>
      <c r="U324" s="36"/>
      <c r="V324" s="36"/>
      <c r="W324" s="36"/>
      <c r="X324" s="36"/>
      <c r="Y324" s="36"/>
      <c r="Z324" s="36"/>
      <c r="AA324" s="36"/>
      <c r="AB324" s="36"/>
      <c r="AC324" s="36"/>
      <c r="AD324" s="36"/>
      <c r="AE324" s="36"/>
      <c r="AF324" s="36"/>
      <c r="AG324" s="36"/>
      <c r="AH324" s="36"/>
      <c r="AI324" s="36"/>
      <c r="AJ324" s="36"/>
      <c r="AK324" s="36"/>
      <c r="AL324" s="36"/>
      <c r="AM324" s="36"/>
      <c r="AN324" s="37"/>
      <c r="AO324" s="37"/>
      <c r="AP324" s="37"/>
      <c r="AQ324" s="37"/>
      <c r="AR324" s="37"/>
      <c r="AS324" s="37"/>
      <c r="AT324" s="37"/>
      <c r="AU324" s="37"/>
      <c r="AV324" s="37"/>
      <c r="AW324" s="37"/>
      <c r="AX324" s="37"/>
      <c r="AY324" s="37"/>
      <c r="AZ324" s="37"/>
      <c r="BA324" s="37"/>
      <c r="BB324" s="37"/>
      <c r="BC324" s="37"/>
      <c r="BD324" s="37"/>
      <c r="BE324" s="37"/>
    </row>
    <row r="326" spans="2:57" ht="13.9" hidden="1" customHeight="1" x14ac:dyDescent="0.3"/>
    <row r="327" spans="2:57" ht="13.9" hidden="1" customHeight="1" x14ac:dyDescent="0.3"/>
    <row r="328" spans="2:57" ht="13.9" hidden="1" customHeight="1" x14ac:dyDescent="0.3"/>
    <row r="329" spans="2:57" ht="13.9" hidden="1" customHeight="1" x14ac:dyDescent="0.3"/>
    <row r="330" spans="2:57" ht="13.9" hidden="1" customHeight="1" x14ac:dyDescent="0.3"/>
    <row r="331" spans="2:57" ht="13.9" hidden="1" customHeight="1" x14ac:dyDescent="0.3"/>
    <row r="332" spans="2:57" ht="13.9" hidden="1" customHeight="1" x14ac:dyDescent="0.3"/>
    <row r="333" spans="2:57" ht="13.9" hidden="1" customHeight="1" x14ac:dyDescent="0.3"/>
    <row r="334" spans="2:57" ht="13.9" hidden="1" customHeight="1" x14ac:dyDescent="0.3"/>
    <row r="335" spans="2:57" ht="13.9" hidden="1" customHeight="1" x14ac:dyDescent="0.3"/>
    <row r="336" spans="2:57" ht="13.9" hidden="1" customHeight="1" x14ac:dyDescent="0.3"/>
    <row r="337" ht="13.9" hidden="1" customHeight="1" x14ac:dyDescent="0.3"/>
    <row r="338" ht="13.9" hidden="1" customHeight="1" x14ac:dyDescent="0.3"/>
    <row r="339" ht="13.9" hidden="1" customHeight="1" x14ac:dyDescent="0.3"/>
    <row r="340" ht="13.9" hidden="1" customHeight="1" x14ac:dyDescent="0.3"/>
    <row r="341" ht="13.9" hidden="1" customHeight="1" x14ac:dyDescent="0.3"/>
    <row r="342" ht="13.9" hidden="1" customHeight="1" x14ac:dyDescent="0.3"/>
    <row r="343" ht="13.9" hidden="1" customHeight="1" x14ac:dyDescent="0.3"/>
    <row r="344" ht="13.9" hidden="1" customHeight="1" x14ac:dyDescent="0.3"/>
    <row r="345" ht="13.9" hidden="1" customHeight="1" x14ac:dyDescent="0.3"/>
    <row r="346" ht="13.9" hidden="1" customHeight="1" x14ac:dyDescent="0.3"/>
    <row r="347" ht="13.9" hidden="1" customHeight="1" x14ac:dyDescent="0.3"/>
    <row r="348" ht="13.9" hidden="1" customHeight="1" x14ac:dyDescent="0.3"/>
    <row r="349" ht="13.9" hidden="1" customHeight="1" x14ac:dyDescent="0.3"/>
    <row r="350" ht="13.9" hidden="1" customHeight="1" x14ac:dyDescent="0.3"/>
    <row r="351" ht="13.9" hidden="1" customHeight="1" x14ac:dyDescent="0.3"/>
    <row r="352" ht="13.9" hidden="1" customHeight="1" x14ac:dyDescent="0.3"/>
    <row r="353" ht="13.9" hidden="1" customHeight="1" x14ac:dyDescent="0.3"/>
    <row r="354" ht="13.9" hidden="1" customHeight="1" x14ac:dyDescent="0.3"/>
    <row r="355" ht="13.9" hidden="1" customHeight="1" x14ac:dyDescent="0.3"/>
    <row r="356" ht="13.9" hidden="1" customHeight="1" x14ac:dyDescent="0.3"/>
    <row r="357" ht="13.9" hidden="1" customHeight="1" x14ac:dyDescent="0.3"/>
    <row r="358" ht="13.9" hidden="1" customHeight="1" x14ac:dyDescent="0.3"/>
    <row r="359" ht="13.9" hidden="1" customHeight="1" x14ac:dyDescent="0.3"/>
    <row r="360" ht="13.9" hidden="1" customHeight="1" x14ac:dyDescent="0.3"/>
    <row r="361" ht="13.9" hidden="1" customHeight="1" x14ac:dyDescent="0.3"/>
    <row r="362" ht="13.9" hidden="1" customHeight="1" x14ac:dyDescent="0.3"/>
    <row r="363" ht="13.9" hidden="1" customHeight="1" x14ac:dyDescent="0.3"/>
    <row r="364" ht="13.9" hidden="1" customHeight="1" x14ac:dyDescent="0.3"/>
    <row r="365" ht="13.9" hidden="1" customHeight="1" x14ac:dyDescent="0.3"/>
    <row r="366" ht="13.9" hidden="1" customHeight="1" x14ac:dyDescent="0.3"/>
    <row r="367" ht="13.9" hidden="1" customHeight="1" x14ac:dyDescent="0.3"/>
    <row r="368" ht="13.9" hidden="1" customHeight="1" x14ac:dyDescent="0.3"/>
    <row r="369" ht="13.9" hidden="1" customHeight="1" x14ac:dyDescent="0.3"/>
    <row r="370" ht="13.9" hidden="1" customHeight="1" x14ac:dyDescent="0.3"/>
    <row r="371" ht="13.9" hidden="1" customHeight="1" x14ac:dyDescent="0.3"/>
    <row r="372" ht="13.9" hidden="1" customHeight="1" x14ac:dyDescent="0.3"/>
    <row r="373" ht="13.9" hidden="1" customHeight="1" x14ac:dyDescent="0.3"/>
    <row r="374" ht="13.9" hidden="1" customHeight="1" x14ac:dyDescent="0.3"/>
    <row r="375" ht="13.9" hidden="1" customHeight="1" x14ac:dyDescent="0.3"/>
    <row r="376" ht="13.9" hidden="1" customHeight="1" x14ac:dyDescent="0.3"/>
    <row r="377" ht="13.9" hidden="1" customHeight="1" x14ac:dyDescent="0.3"/>
    <row r="378" ht="13.9" hidden="1" customHeight="1" x14ac:dyDescent="0.3"/>
    <row r="379" ht="13.9" hidden="1" customHeight="1" x14ac:dyDescent="0.3"/>
    <row r="380" ht="13.9" hidden="1" customHeight="1" x14ac:dyDescent="0.3"/>
    <row r="381" ht="13.9" hidden="1" customHeight="1" x14ac:dyDescent="0.3"/>
    <row r="382" ht="13.9" hidden="1" customHeight="1" x14ac:dyDescent="0.3"/>
    <row r="383" ht="13.9" hidden="1" customHeight="1" x14ac:dyDescent="0.3"/>
    <row r="384" ht="13.9" hidden="1" customHeight="1" x14ac:dyDescent="0.3"/>
    <row r="385" spans="8:59" ht="13.9" hidden="1" customHeight="1" x14ac:dyDescent="0.3"/>
    <row r="386" spans="8:59" ht="13.9" hidden="1" customHeight="1" x14ac:dyDescent="0.3"/>
    <row r="387" spans="8:59" ht="13.9" hidden="1" customHeight="1" x14ac:dyDescent="0.3"/>
    <row r="388" spans="8:59" ht="13.9" hidden="1" customHeight="1" x14ac:dyDescent="0.3"/>
    <row r="389" spans="8:59" ht="13.9" hidden="1" customHeight="1" x14ac:dyDescent="0.3"/>
    <row r="390" spans="8:59" ht="13.9" hidden="1" customHeight="1" x14ac:dyDescent="0.3"/>
    <row r="391" spans="8:59" ht="13.9" hidden="1" customHeight="1" x14ac:dyDescent="0.3"/>
    <row r="392" spans="8:59" ht="13.9" hidden="1" customHeight="1" x14ac:dyDescent="0.3"/>
    <row r="393" spans="8:59" ht="13.9" hidden="1" customHeight="1" x14ac:dyDescent="0.3"/>
    <row r="394" spans="8:59" ht="13.9" hidden="1" customHeight="1" x14ac:dyDescent="0.3"/>
    <row r="395" spans="8:59" ht="13.9" hidden="1" customHeight="1" x14ac:dyDescent="0.3"/>
    <row r="396" spans="8:59" ht="13.9" hidden="1" customHeight="1" x14ac:dyDescent="0.3"/>
    <row r="397" spans="8:59" ht="13.9" hidden="1" customHeight="1" x14ac:dyDescent="0.3"/>
    <row r="398" spans="8:59" ht="13.9" hidden="1" customHeight="1" x14ac:dyDescent="0.3"/>
    <row r="399" spans="8:59" ht="14.25" hidden="1" customHeight="1" x14ac:dyDescent="0.3"/>
    <row r="400" spans="8:59" ht="13.9" customHeight="1" x14ac:dyDescent="0.3">
      <c r="H400" s="87"/>
      <c r="M400" s="87"/>
      <c r="N400" s="87"/>
      <c r="O400" s="87"/>
      <c r="Q400" s="24"/>
      <c r="R400" s="285" t="s">
        <v>346</v>
      </c>
      <c r="S400" s="22"/>
      <c r="T400" s="233"/>
      <c r="U400" s="234"/>
      <c r="V400" s="234"/>
      <c r="W400" s="234"/>
      <c r="X400" s="234"/>
      <c r="Y400" s="234"/>
      <c r="Z400" s="234"/>
      <c r="AA400" s="234"/>
      <c r="AB400" s="234"/>
      <c r="AC400" s="234"/>
      <c r="AD400" s="234"/>
      <c r="AN400" s="23"/>
      <c r="AO400" s="23"/>
      <c r="BF400" s="5"/>
      <c r="BG400" s="5"/>
    </row>
    <row r="401" spans="8:59" ht="13.9" customHeight="1" x14ac:dyDescent="0.3">
      <c r="H401" s="87"/>
      <c r="M401" s="87"/>
      <c r="N401" s="87"/>
      <c r="O401" s="87"/>
      <c r="Q401" s="24"/>
      <c r="R401" s="244"/>
      <c r="S401" s="23"/>
      <c r="T401" s="233"/>
      <c r="U401" s="234"/>
      <c r="V401" s="234"/>
      <c r="W401" s="234"/>
      <c r="X401" s="234"/>
      <c r="Y401" s="234" t="s">
        <v>172</v>
      </c>
      <c r="Z401" s="234" t="s">
        <v>658</v>
      </c>
      <c r="AA401" s="234"/>
      <c r="AB401" s="234"/>
      <c r="AC401" s="234"/>
      <c r="AD401" s="234"/>
      <c r="AN401" s="23"/>
      <c r="AO401" s="23"/>
      <c r="BF401" s="5"/>
      <c r="BG401" s="5"/>
    </row>
    <row r="402" spans="8:59" ht="13.9" customHeight="1" x14ac:dyDescent="0.3">
      <c r="H402" s="87"/>
      <c r="M402" s="87"/>
      <c r="N402" s="87"/>
      <c r="O402" s="87"/>
      <c r="Q402" s="24"/>
      <c r="R402" s="244"/>
      <c r="S402" s="286" t="str">
        <f>B8</f>
        <v>Käsittelyssä tarvittavien työkoneiden ja muun työmaakaluston kuljetus alueelle sekä niiden kuljetus alueelta pois käsittelyn päättyessä</v>
      </c>
      <c r="T402" s="287"/>
      <c r="U402" s="288"/>
      <c r="V402" s="288"/>
      <c r="W402" s="288" t="s">
        <v>730</v>
      </c>
      <c r="X402" s="288" t="s">
        <v>674</v>
      </c>
      <c r="Y402" s="289">
        <f ca="1">SUM(Y403,Y406)</f>
        <v>0</v>
      </c>
      <c r="Z402" s="290" t="str">
        <f ca="1">IF(ISERROR(Y402/$Y$443),"--",Y402/$Y$443)</f>
        <v>--</v>
      </c>
      <c r="AA402" s="234"/>
      <c r="AB402" s="234"/>
      <c r="AC402" s="234"/>
      <c r="AD402" s="234"/>
      <c r="AN402" s="23"/>
      <c r="AO402" s="23"/>
      <c r="BF402" s="5"/>
      <c r="BG402" s="5"/>
    </row>
    <row r="403" spans="8:59" ht="13.9" customHeight="1" x14ac:dyDescent="0.3">
      <c r="H403" s="87"/>
      <c r="M403" s="87"/>
      <c r="N403" s="87"/>
      <c r="O403" s="87"/>
      <c r="Q403" s="24"/>
      <c r="R403" s="244"/>
      <c r="S403" s="212" t="s">
        <v>629</v>
      </c>
      <c r="T403" s="234"/>
      <c r="U403" s="234"/>
      <c r="V403" s="234"/>
      <c r="W403" s="234" t="s">
        <v>730</v>
      </c>
      <c r="X403" s="234" t="s">
        <v>348</v>
      </c>
      <c r="Y403" s="235">
        <f ca="1">SUM(Y404:Y405)</f>
        <v>0</v>
      </c>
      <c r="Z403" s="284" t="str">
        <f t="shared" ref="Z403:Z441" ca="1" si="0">IF(ISERROR(Y403/$Y$443),"--",Y403/$Y$443)</f>
        <v>--</v>
      </c>
      <c r="AA403" s="234"/>
      <c r="AB403" s="234"/>
      <c r="AC403" s="234"/>
      <c r="AD403" s="234"/>
      <c r="AN403" s="23"/>
      <c r="AO403" s="23"/>
      <c r="BF403" s="5"/>
      <c r="BG403" s="5"/>
    </row>
    <row r="404" spans="8:59" ht="13.9" customHeight="1" x14ac:dyDescent="0.3">
      <c r="H404" s="87"/>
      <c r="M404" s="87"/>
      <c r="N404" s="87"/>
      <c r="O404" s="87"/>
      <c r="Q404" s="24"/>
      <c r="R404" s="244"/>
      <c r="S404" s="252" t="s">
        <v>40</v>
      </c>
      <c r="T404" s="234"/>
      <c r="U404" s="234"/>
      <c r="V404" s="234"/>
      <c r="W404" s="234" t="s">
        <v>40</v>
      </c>
      <c r="X404" s="234"/>
      <c r="Y404" s="235">
        <f>SUM(AB11,AB16,AB21)</f>
        <v>0</v>
      </c>
      <c r="Z404" s="284" t="str">
        <f t="shared" ca="1" si="0"/>
        <v>--</v>
      </c>
      <c r="AA404" s="234"/>
      <c r="AB404" s="234"/>
      <c r="AC404" s="234"/>
      <c r="AD404" s="234"/>
      <c r="AN404" s="23"/>
      <c r="AO404" s="23"/>
      <c r="BF404" s="5"/>
      <c r="BG404" s="5"/>
    </row>
    <row r="405" spans="8:59" ht="13.9" customHeight="1" x14ac:dyDescent="0.3">
      <c r="H405" s="87"/>
      <c r="M405" s="87"/>
      <c r="N405" s="87"/>
      <c r="O405" s="87"/>
      <c r="Q405" s="24"/>
      <c r="R405" s="244"/>
      <c r="S405" s="252" t="s">
        <v>637</v>
      </c>
      <c r="T405" s="234"/>
      <c r="U405" s="234"/>
      <c r="V405" s="234"/>
      <c r="W405" s="234" t="s">
        <v>40</v>
      </c>
      <c r="X405" s="234"/>
      <c r="Y405" s="235">
        <f ca="1">SUM(AG21,AG16,AG11)</f>
        <v>0</v>
      </c>
      <c r="Z405" s="284" t="str">
        <f t="shared" ca="1" si="0"/>
        <v>--</v>
      </c>
      <c r="AA405" s="234"/>
      <c r="AB405" s="234"/>
      <c r="AC405" s="234"/>
      <c r="AD405" s="234"/>
      <c r="AN405" s="23"/>
      <c r="AO405" s="23"/>
      <c r="BF405" s="5"/>
      <c r="BG405" s="5"/>
    </row>
    <row r="406" spans="8:59" ht="13.9" customHeight="1" x14ac:dyDescent="0.3">
      <c r="H406" s="87"/>
      <c r="M406" s="87"/>
      <c r="N406" s="87"/>
      <c r="O406" s="87"/>
      <c r="Q406" s="24"/>
      <c r="R406" s="244"/>
      <c r="S406" s="212" t="s">
        <v>630</v>
      </c>
      <c r="T406" s="234"/>
      <c r="U406" s="234"/>
      <c r="V406" s="234"/>
      <c r="W406" s="234" t="s">
        <v>730</v>
      </c>
      <c r="X406" s="234" t="s">
        <v>673</v>
      </c>
      <c r="Y406" s="235">
        <f ca="1">SUM(Y407:Y408)</f>
        <v>0</v>
      </c>
      <c r="Z406" s="284" t="str">
        <f t="shared" ca="1" si="0"/>
        <v>--</v>
      </c>
      <c r="AA406" s="234"/>
      <c r="AB406" s="234"/>
      <c r="AC406" s="234"/>
      <c r="AD406" s="234"/>
      <c r="AN406" s="23"/>
      <c r="AO406" s="23"/>
      <c r="BF406" s="5"/>
      <c r="BG406" s="5"/>
    </row>
    <row r="407" spans="8:59" ht="13.9" customHeight="1" x14ac:dyDescent="0.3">
      <c r="H407" s="87"/>
      <c r="M407" s="87"/>
      <c r="N407" s="87"/>
      <c r="O407" s="87"/>
      <c r="Q407" s="24"/>
      <c r="R407" s="244"/>
      <c r="S407" s="252" t="s">
        <v>40</v>
      </c>
      <c r="T407" s="234"/>
      <c r="U407" s="234"/>
      <c r="V407" s="234"/>
      <c r="W407" s="234" t="s">
        <v>40</v>
      </c>
      <c r="X407" s="234"/>
      <c r="Y407" s="235">
        <f>SUM(AB21,AB16,AB11)</f>
        <v>0</v>
      </c>
      <c r="Z407" s="284" t="str">
        <f t="shared" ca="1" si="0"/>
        <v>--</v>
      </c>
      <c r="AA407" s="234"/>
      <c r="AB407" s="234"/>
      <c r="AC407" s="234"/>
      <c r="AD407" s="234"/>
      <c r="AN407" s="23"/>
      <c r="AO407" s="23"/>
      <c r="BF407" s="5"/>
      <c r="BG407" s="5"/>
    </row>
    <row r="408" spans="8:59" ht="13.9" customHeight="1" x14ac:dyDescent="0.3">
      <c r="H408" s="87"/>
      <c r="M408" s="87"/>
      <c r="N408" s="87"/>
      <c r="O408" s="87"/>
      <c r="Q408" s="24"/>
      <c r="R408" s="244"/>
      <c r="S408" s="252" t="s">
        <v>637</v>
      </c>
      <c r="T408" s="234"/>
      <c r="U408" s="234"/>
      <c r="V408" s="234"/>
      <c r="W408" s="234" t="s">
        <v>40</v>
      </c>
      <c r="X408" s="234"/>
      <c r="Y408" s="235">
        <f ca="1">SUM(AG21,AG16,AG11)</f>
        <v>0</v>
      </c>
      <c r="Z408" s="284" t="str">
        <f t="shared" ca="1" si="0"/>
        <v>--</v>
      </c>
      <c r="AA408" s="234"/>
      <c r="AB408" s="234"/>
      <c r="AC408" s="234"/>
      <c r="AD408" s="234"/>
      <c r="AN408" s="23"/>
      <c r="AO408" s="23"/>
      <c r="BF408" s="5"/>
      <c r="BG408" s="5"/>
    </row>
    <row r="409" spans="8:59" ht="13.9" customHeight="1" x14ac:dyDescent="0.3">
      <c r="H409" s="87"/>
      <c r="M409" s="87"/>
      <c r="N409" s="87"/>
      <c r="O409" s="87"/>
      <c r="Q409" s="24"/>
      <c r="R409" s="244"/>
      <c r="S409" s="286" t="str">
        <f>B28</f>
        <v>Käsittelyä varten tehtävät puuston, asfalttipintojen  tai rakenteiden poisto</v>
      </c>
      <c r="T409" s="287"/>
      <c r="U409" s="288"/>
      <c r="V409" s="288"/>
      <c r="W409" s="288" t="s">
        <v>731</v>
      </c>
      <c r="X409" s="288" t="s">
        <v>348</v>
      </c>
      <c r="Y409" s="289">
        <f>SUM(Y410,Y411,Y412)</f>
        <v>0</v>
      </c>
      <c r="Z409" s="290" t="str">
        <f t="shared" ca="1" si="0"/>
        <v>--</v>
      </c>
      <c r="AA409" s="234"/>
      <c r="AB409" s="234"/>
      <c r="AC409" s="234"/>
      <c r="AD409" s="234"/>
      <c r="AN409" s="23"/>
      <c r="AO409" s="23"/>
      <c r="BF409" s="5"/>
      <c r="BG409" s="5"/>
    </row>
    <row r="410" spans="8:59" ht="13.9" customHeight="1" x14ac:dyDescent="0.3">
      <c r="H410" s="87"/>
      <c r="M410" s="87"/>
      <c r="N410" s="87"/>
      <c r="O410" s="87"/>
      <c r="Q410" s="24"/>
      <c r="R410" s="244"/>
      <c r="S410" s="212" t="s">
        <v>634</v>
      </c>
      <c r="T410" s="234"/>
      <c r="U410" s="234"/>
      <c r="V410" s="234"/>
      <c r="W410" s="234" t="s">
        <v>655</v>
      </c>
      <c r="X410" s="234" t="s">
        <v>348</v>
      </c>
      <c r="Y410" s="235">
        <f>SUM(R31)</f>
        <v>0</v>
      </c>
      <c r="Z410" s="284" t="str">
        <f t="shared" ca="1" si="0"/>
        <v>--</v>
      </c>
      <c r="AA410" s="234"/>
      <c r="AB410" s="234"/>
      <c r="AC410" s="234"/>
      <c r="AD410" s="234"/>
      <c r="AN410" s="23"/>
      <c r="AO410" s="23"/>
      <c r="BF410" s="5"/>
      <c r="BG410" s="5"/>
    </row>
    <row r="411" spans="8:59" ht="13.9" customHeight="1" x14ac:dyDescent="0.3">
      <c r="H411" s="87"/>
      <c r="M411" s="87"/>
      <c r="N411" s="87"/>
      <c r="O411" s="87"/>
      <c r="Q411" s="24"/>
      <c r="R411" s="244"/>
      <c r="S411" s="212" t="s">
        <v>631</v>
      </c>
      <c r="T411" s="234"/>
      <c r="U411" s="234"/>
      <c r="V411" s="234"/>
      <c r="W411" s="234" t="s">
        <v>655</v>
      </c>
      <c r="X411" s="234" t="s">
        <v>635</v>
      </c>
      <c r="Y411" s="235">
        <f>SUM(R32)</f>
        <v>0</v>
      </c>
      <c r="Z411" s="284" t="str">
        <f t="shared" ca="1" si="0"/>
        <v>--</v>
      </c>
      <c r="AA411" s="234"/>
      <c r="AB411" s="234"/>
      <c r="AC411" s="234"/>
      <c r="AD411" s="234"/>
      <c r="AN411" s="23"/>
      <c r="AO411" s="23"/>
      <c r="BF411" s="5"/>
      <c r="BG411" s="5"/>
    </row>
    <row r="412" spans="8:59" ht="13.9" customHeight="1" x14ac:dyDescent="0.3">
      <c r="H412" s="87"/>
      <c r="M412" s="87"/>
      <c r="N412" s="87"/>
      <c r="O412" s="87"/>
      <c r="Q412" s="24"/>
      <c r="R412" s="244"/>
      <c r="S412" s="212" t="s">
        <v>55</v>
      </c>
      <c r="T412" s="234"/>
      <c r="U412" s="234"/>
      <c r="V412" s="234"/>
      <c r="W412" s="234" t="s">
        <v>655</v>
      </c>
      <c r="X412" s="234" t="s">
        <v>348</v>
      </c>
      <c r="Y412" s="235">
        <f>SUM(R34)</f>
        <v>0</v>
      </c>
      <c r="Z412" s="284" t="str">
        <f t="shared" ca="1" si="0"/>
        <v>--</v>
      </c>
      <c r="AA412" s="234"/>
      <c r="AB412" s="234"/>
      <c r="AC412" s="234"/>
      <c r="AD412" s="234"/>
      <c r="AN412" s="23"/>
      <c r="AO412" s="23"/>
      <c r="BF412" s="5"/>
      <c r="BG412" s="5"/>
    </row>
    <row r="413" spans="8:59" ht="13.9" customHeight="1" x14ac:dyDescent="0.3">
      <c r="H413" s="87"/>
      <c r="M413" s="87"/>
      <c r="N413" s="87"/>
      <c r="O413" s="87"/>
      <c r="Q413" s="24"/>
      <c r="R413" s="244"/>
      <c r="S413" s="286" t="s">
        <v>632</v>
      </c>
      <c r="T413" s="288"/>
      <c r="U413" s="288"/>
      <c r="V413" s="288"/>
      <c r="W413" s="288" t="s">
        <v>666</v>
      </c>
      <c r="X413" s="288" t="s">
        <v>633</v>
      </c>
      <c r="Y413" s="289">
        <f>SUM(R30)</f>
        <v>0</v>
      </c>
      <c r="Z413" s="290" t="str">
        <f t="shared" ca="1" si="0"/>
        <v>--</v>
      </c>
      <c r="AA413" s="234"/>
      <c r="AB413" s="234"/>
      <c r="AC413" s="234"/>
      <c r="AD413" s="234"/>
      <c r="AN413" s="23"/>
      <c r="AO413" s="23"/>
      <c r="BF413" s="5"/>
      <c r="BG413" s="5"/>
    </row>
    <row r="414" spans="8:59" ht="13.9" customHeight="1" x14ac:dyDescent="0.3">
      <c r="H414" s="87"/>
      <c r="M414" s="87"/>
      <c r="N414" s="87"/>
      <c r="O414" s="87"/>
      <c r="Q414" s="24"/>
      <c r="R414" s="244"/>
      <c r="S414" s="286" t="str">
        <f>B37</f>
        <v>Asennus- ja valmisteluvaiheessa tarvittavat työkoneet</v>
      </c>
      <c r="T414" s="287"/>
      <c r="U414" s="288"/>
      <c r="V414" s="288"/>
      <c r="W414" s="288" t="s">
        <v>655</v>
      </c>
      <c r="X414" s="288" t="s">
        <v>348</v>
      </c>
      <c r="Y414" s="289">
        <f>SUM(R40,R44,R48)</f>
        <v>0</v>
      </c>
      <c r="Z414" s="290" t="str">
        <f t="shared" ca="1" si="0"/>
        <v>--</v>
      </c>
      <c r="AA414" s="234"/>
      <c r="AB414" s="234"/>
      <c r="AC414" s="234"/>
      <c r="AD414" s="234"/>
      <c r="AN414" s="23"/>
      <c r="AO414" s="23"/>
      <c r="BF414" s="5"/>
      <c r="BG414" s="5"/>
    </row>
    <row r="415" spans="8:59" ht="13.9" customHeight="1" x14ac:dyDescent="0.3">
      <c r="H415" s="87"/>
      <c r="M415" s="87"/>
      <c r="N415" s="87"/>
      <c r="O415" s="87"/>
      <c r="Q415" s="24"/>
      <c r="R415" s="244"/>
      <c r="S415" s="286" t="str">
        <f>B52</f>
        <v>Mahdollisten käsittelyssä poistettavien maa-ainesten ja purkumateriaalien kuljetukset</v>
      </c>
      <c r="T415" s="287"/>
      <c r="U415" s="288"/>
      <c r="V415" s="288"/>
      <c r="W415" s="288" t="s">
        <v>730</v>
      </c>
      <c r="X415" s="288" t="s">
        <v>664</v>
      </c>
      <c r="Y415" s="289">
        <f ca="1">SUM(Y416:Y417)</f>
        <v>0</v>
      </c>
      <c r="Z415" s="290" t="str">
        <f t="shared" ca="1" si="0"/>
        <v>--</v>
      </c>
      <c r="AA415" s="234"/>
      <c r="AB415" s="234"/>
      <c r="AC415" s="234"/>
      <c r="AD415" s="234"/>
      <c r="AN415" s="23"/>
      <c r="AO415" s="23"/>
      <c r="BF415" s="5"/>
      <c r="BG415" s="5"/>
    </row>
    <row r="416" spans="8:59" ht="13.9" customHeight="1" x14ac:dyDescent="0.3">
      <c r="H416" s="87"/>
      <c r="M416" s="87"/>
      <c r="N416" s="87"/>
      <c r="O416" s="87"/>
      <c r="Q416" s="24"/>
      <c r="R416" s="244"/>
      <c r="S416" s="212" t="s">
        <v>40</v>
      </c>
      <c r="T416" s="233"/>
      <c r="U416" s="234"/>
      <c r="V416" s="234"/>
      <c r="W416" s="234" t="s">
        <v>40</v>
      </c>
      <c r="X416" s="234" t="s">
        <v>664</v>
      </c>
      <c r="Y416" s="235">
        <f>SUM(AB55,AB60,AB65,AB70,AB75)</f>
        <v>0</v>
      </c>
      <c r="Z416" s="284" t="str">
        <f t="shared" ca="1" si="0"/>
        <v>--</v>
      </c>
      <c r="AA416" s="234"/>
      <c r="AB416" s="234"/>
      <c r="AC416" s="234"/>
      <c r="AD416" s="234"/>
      <c r="AN416" s="23"/>
      <c r="AO416" s="23"/>
      <c r="BF416" s="5"/>
      <c r="BG416" s="5"/>
    </row>
    <row r="417" spans="8:59" ht="13.9" customHeight="1" x14ac:dyDescent="0.3">
      <c r="H417" s="87"/>
      <c r="M417" s="87"/>
      <c r="N417" s="87"/>
      <c r="O417" s="87"/>
      <c r="Q417" s="24"/>
      <c r="R417" s="244"/>
      <c r="S417" s="212" t="s">
        <v>637</v>
      </c>
      <c r="T417" s="233"/>
      <c r="U417" s="234"/>
      <c r="V417" s="234"/>
      <c r="W417" s="234" t="s">
        <v>40</v>
      </c>
      <c r="X417" s="234" t="s">
        <v>664</v>
      </c>
      <c r="Y417" s="235">
        <f ca="1">SUM(AG55,AG60,AG65,AG70,AG75)</f>
        <v>0</v>
      </c>
      <c r="Z417" s="284" t="str">
        <f t="shared" ca="1" si="0"/>
        <v>--</v>
      </c>
      <c r="AA417" s="234"/>
      <c r="AB417" s="234"/>
      <c r="AC417" s="234"/>
      <c r="AD417" s="234"/>
      <c r="AN417" s="23"/>
      <c r="AO417" s="23"/>
      <c r="BF417" s="5"/>
      <c r="BG417" s="5"/>
    </row>
    <row r="418" spans="8:59" ht="13.9" customHeight="1" x14ac:dyDescent="0.3">
      <c r="H418" s="87"/>
      <c r="M418" s="87"/>
      <c r="N418" s="87"/>
      <c r="O418" s="87"/>
      <c r="Q418" s="24"/>
      <c r="R418" s="244"/>
      <c r="S418" s="286" t="str">
        <f>B82</f>
        <v>Mahdollisten korvaavien maa-ainesten määrä</v>
      </c>
      <c r="T418" s="287"/>
      <c r="U418" s="288"/>
      <c r="V418" s="288"/>
      <c r="W418" s="288" t="s">
        <v>654</v>
      </c>
      <c r="X418" s="288" t="s">
        <v>664</v>
      </c>
      <c r="Y418" s="289">
        <f>SUM(R84:R88)</f>
        <v>0</v>
      </c>
      <c r="Z418" s="290" t="str">
        <f t="shared" ca="1" si="0"/>
        <v>--</v>
      </c>
      <c r="AA418" s="234"/>
      <c r="AB418" s="234"/>
      <c r="AC418" s="234"/>
      <c r="AD418" s="234"/>
      <c r="AN418" s="23"/>
      <c r="AO418" s="23"/>
      <c r="BF418" s="5"/>
      <c r="BG418" s="5"/>
    </row>
    <row r="419" spans="8:59" ht="13.9" customHeight="1" x14ac:dyDescent="0.3">
      <c r="H419" s="87"/>
      <c r="M419" s="87"/>
      <c r="N419" s="87"/>
      <c r="O419" s="87"/>
      <c r="Q419" s="24"/>
      <c r="R419" s="244"/>
      <c r="S419" s="286" t="str">
        <f>B92</f>
        <v>Mahdollisten korvaavien maa-ainesten kuljetukset alueelle</v>
      </c>
      <c r="T419" s="287"/>
      <c r="U419" s="288"/>
      <c r="V419" s="288"/>
      <c r="W419" s="288" t="s">
        <v>730</v>
      </c>
      <c r="X419" s="288" t="s">
        <v>664</v>
      </c>
      <c r="Y419" s="289">
        <f ca="1">SUM(Y420,Y421)</f>
        <v>0</v>
      </c>
      <c r="Z419" s="290" t="str">
        <f t="shared" ca="1" si="0"/>
        <v>--</v>
      </c>
      <c r="AA419" s="234"/>
      <c r="AB419" s="234"/>
      <c r="AC419" s="234"/>
      <c r="AD419" s="234"/>
      <c r="AN419" s="23"/>
      <c r="AO419" s="23"/>
      <c r="BF419" s="5"/>
      <c r="BG419" s="5"/>
    </row>
    <row r="420" spans="8:59" ht="13.9" customHeight="1" x14ac:dyDescent="0.3">
      <c r="H420" s="87"/>
      <c r="M420" s="87"/>
      <c r="N420" s="87"/>
      <c r="O420" s="87"/>
      <c r="Q420" s="24"/>
      <c r="R420" s="244"/>
      <c r="S420" s="212" t="s">
        <v>40</v>
      </c>
      <c r="T420" s="234"/>
      <c r="U420" s="234"/>
      <c r="V420" s="234"/>
      <c r="W420" s="234" t="s">
        <v>40</v>
      </c>
      <c r="X420" s="234" t="s">
        <v>664</v>
      </c>
      <c r="Y420" s="235">
        <f>SUM(AB95,AB100,AB105,AB110,AB115)</f>
        <v>0</v>
      </c>
      <c r="Z420" s="284" t="str">
        <f t="shared" ca="1" si="0"/>
        <v>--</v>
      </c>
      <c r="AA420" s="234"/>
      <c r="AB420" s="234"/>
      <c r="AC420" s="234"/>
      <c r="AD420" s="234"/>
      <c r="AN420" s="23"/>
      <c r="AO420" s="23"/>
      <c r="BF420" s="5"/>
      <c r="BG420" s="5"/>
    </row>
    <row r="421" spans="8:59" ht="13.9" customHeight="1" x14ac:dyDescent="0.3">
      <c r="H421" s="87"/>
      <c r="M421" s="87"/>
      <c r="N421" s="87"/>
      <c r="O421" s="87"/>
      <c r="Q421" s="24"/>
      <c r="R421" s="244"/>
      <c r="S421" s="212" t="s">
        <v>637</v>
      </c>
      <c r="T421" s="234"/>
      <c r="U421" s="234"/>
      <c r="V421" s="234"/>
      <c r="W421" s="234" t="s">
        <v>40</v>
      </c>
      <c r="X421" s="234" t="s">
        <v>664</v>
      </c>
      <c r="Y421" s="235">
        <f ca="1">SUM(AG95,AG100,AG105,AG110,AG115)</f>
        <v>0</v>
      </c>
      <c r="Z421" s="284" t="str">
        <f t="shared" ca="1" si="0"/>
        <v>--</v>
      </c>
      <c r="AA421" s="234"/>
      <c r="AB421" s="234"/>
      <c r="AC421" s="234"/>
      <c r="AD421" s="234"/>
      <c r="AN421" s="23"/>
      <c r="AO421" s="23"/>
      <c r="BF421" s="5"/>
      <c r="BG421" s="5"/>
    </row>
    <row r="422" spans="8:59" ht="13.9" customHeight="1" x14ac:dyDescent="0.3">
      <c r="H422" s="87"/>
      <c r="M422" s="87"/>
      <c r="N422" s="87"/>
      <c r="O422" s="87"/>
      <c r="Q422" s="24"/>
      <c r="R422" s="244"/>
      <c r="S422" s="286" t="str">
        <f>B122</f>
        <v>Käsittelyssä käytettävät kertakäyttöiset kemikaalit, tuotteet tai materiaalit</v>
      </c>
      <c r="T422" s="287"/>
      <c r="U422" s="288"/>
      <c r="V422" s="288"/>
      <c r="W422" s="288" t="s">
        <v>654</v>
      </c>
      <c r="X422" s="288" t="s">
        <v>664</v>
      </c>
      <c r="Y422" s="289">
        <f>SUM(R126,R129,R132,R135,R138)</f>
        <v>0</v>
      </c>
      <c r="Z422" s="290" t="str">
        <f t="shared" ca="1" si="0"/>
        <v>--</v>
      </c>
      <c r="AA422" s="234"/>
      <c r="AB422" s="234"/>
      <c r="AC422" s="234"/>
      <c r="AD422" s="234"/>
      <c r="AN422" s="23"/>
      <c r="AO422" s="23"/>
      <c r="BF422" s="5"/>
      <c r="BG422" s="5"/>
    </row>
    <row r="423" spans="8:59" ht="13.9" customHeight="1" x14ac:dyDescent="0.3">
      <c r="H423" s="87"/>
      <c r="M423" s="87"/>
      <c r="N423" s="87"/>
      <c r="O423" s="87"/>
      <c r="Q423" s="24"/>
      <c r="R423" s="244"/>
      <c r="S423" s="286" t="str">
        <f>B140</f>
        <v>Käsittelyssä käytettävien tuotteiden ja materiaalien kuljetukset alueelle</v>
      </c>
      <c r="T423" s="287"/>
      <c r="U423" s="288"/>
      <c r="V423" s="288"/>
      <c r="W423" s="288" t="s">
        <v>40</v>
      </c>
      <c r="X423" s="288" t="s">
        <v>664</v>
      </c>
      <c r="Y423" s="289">
        <f>SUM(R146,R154,R162,R170,R178)</f>
        <v>0</v>
      </c>
      <c r="Z423" s="290" t="str">
        <f t="shared" ca="1" si="0"/>
        <v>--</v>
      </c>
      <c r="AA423" s="234"/>
      <c r="AB423" s="234"/>
      <c r="AC423" s="234"/>
      <c r="AD423" s="234"/>
      <c r="AN423" s="23"/>
      <c r="AO423" s="23"/>
      <c r="BF423" s="5"/>
      <c r="BG423" s="5"/>
    </row>
    <row r="424" spans="8:59" ht="13.9" customHeight="1" x14ac:dyDescent="0.3">
      <c r="H424" s="87"/>
      <c r="M424" s="87"/>
      <c r="N424" s="87"/>
      <c r="O424" s="87"/>
      <c r="Q424" s="24"/>
      <c r="R424" s="244"/>
      <c r="S424" s="286" t="str">
        <f>B186</f>
        <v>Vesien pumppaaminen</v>
      </c>
      <c r="T424" s="287"/>
      <c r="U424" s="288"/>
      <c r="V424" s="288"/>
      <c r="W424" s="288" t="s">
        <v>663</v>
      </c>
      <c r="X424" s="288" t="s">
        <v>664</v>
      </c>
      <c r="Y424" s="289">
        <f>SUM(R188)</f>
        <v>0</v>
      </c>
      <c r="Z424" s="290" t="str">
        <f t="shared" ca="1" si="0"/>
        <v>--</v>
      </c>
      <c r="AA424" s="234"/>
      <c r="AB424" s="234"/>
      <c r="AC424" s="234"/>
      <c r="AD424" s="234"/>
      <c r="AN424" s="23"/>
      <c r="AO424" s="23"/>
      <c r="BF424" s="5"/>
      <c r="BG424" s="5"/>
    </row>
    <row r="425" spans="8:59" ht="13.9" customHeight="1" x14ac:dyDescent="0.3">
      <c r="H425" s="87"/>
      <c r="M425" s="87"/>
      <c r="N425" s="87"/>
      <c r="O425" s="87"/>
      <c r="Q425" s="24"/>
      <c r="R425" s="244"/>
      <c r="S425" s="286" t="str">
        <f>B196</f>
        <v>Viemäröidyn veden määrä kuutiometreinä</v>
      </c>
      <c r="T425" s="287"/>
      <c r="U425" s="288"/>
      <c r="V425" s="288"/>
      <c r="W425" s="288" t="s">
        <v>663</v>
      </c>
      <c r="X425" s="288" t="s">
        <v>664</v>
      </c>
      <c r="Y425" s="289">
        <f>SUM(R196)</f>
        <v>0</v>
      </c>
      <c r="Z425" s="290" t="str">
        <f t="shared" ca="1" si="0"/>
        <v>--</v>
      </c>
      <c r="AA425" s="234"/>
      <c r="AB425" s="234"/>
      <c r="AC425" s="234"/>
      <c r="AD425" s="234"/>
      <c r="AN425" s="23"/>
      <c r="AO425" s="23"/>
      <c r="BF425" s="5"/>
      <c r="BG425" s="5"/>
    </row>
    <row r="426" spans="8:59" ht="13.9" customHeight="1" x14ac:dyDescent="0.3">
      <c r="H426" s="87"/>
      <c r="M426" s="87"/>
      <c r="N426" s="87"/>
      <c r="O426" s="87"/>
      <c r="Q426" s="24"/>
      <c r="R426" s="244"/>
      <c r="S426" s="286" t="str">
        <f>B200</f>
        <v>Poistokaasujen imu</v>
      </c>
      <c r="T426" s="287"/>
      <c r="U426" s="288"/>
      <c r="V426" s="288"/>
      <c r="W426" s="288" t="s">
        <v>217</v>
      </c>
      <c r="X426" s="288" t="s">
        <v>664</v>
      </c>
      <c r="Y426" s="289">
        <f>SUM(R205)</f>
        <v>0</v>
      </c>
      <c r="Z426" s="290" t="str">
        <f t="shared" ca="1" si="0"/>
        <v>--</v>
      </c>
      <c r="AA426" s="234"/>
      <c r="AB426" s="234"/>
      <c r="AC426" s="234"/>
      <c r="AD426" s="234"/>
      <c r="AN426" s="23"/>
      <c r="AO426" s="23"/>
      <c r="BF426" s="5"/>
      <c r="BG426" s="5"/>
    </row>
    <row r="427" spans="8:59" ht="13.9" customHeight="1" x14ac:dyDescent="0.3">
      <c r="H427" s="87"/>
      <c r="M427" s="87"/>
      <c r="N427" s="87"/>
      <c r="O427" s="87"/>
      <c r="Q427" s="24"/>
      <c r="R427" s="244"/>
      <c r="S427" s="286" t="str">
        <f>B210</f>
        <v>Prosessia tehostavan mahdollinen kuuman ilman, höyryn tai veden tuottaminen</v>
      </c>
      <c r="T427" s="287"/>
      <c r="U427" s="288"/>
      <c r="V427" s="288"/>
      <c r="W427" s="288" t="s">
        <v>217</v>
      </c>
      <c r="X427" s="288" t="s">
        <v>664</v>
      </c>
      <c r="Y427" s="289">
        <f>SUM(R212)</f>
        <v>0</v>
      </c>
      <c r="Z427" s="290" t="str">
        <f t="shared" ca="1" si="0"/>
        <v>--</v>
      </c>
      <c r="AA427" s="234"/>
      <c r="AB427" s="234"/>
      <c r="AC427" s="234"/>
      <c r="AD427" s="234"/>
      <c r="AN427" s="23"/>
      <c r="AO427" s="23"/>
      <c r="BF427" s="5"/>
      <c r="BG427" s="5"/>
    </row>
    <row r="428" spans="8:59" ht="13.9" customHeight="1" x14ac:dyDescent="0.3">
      <c r="H428" s="87"/>
      <c r="M428" s="87"/>
      <c r="N428" s="87"/>
      <c r="O428" s="87"/>
      <c r="Q428" s="24"/>
      <c r="R428" s="244"/>
      <c r="S428" s="286" t="str">
        <f>B220</f>
        <v>Poistokaasujen käsittelyn mahdollinen energiankäyttö</v>
      </c>
      <c r="T428" s="287"/>
      <c r="U428" s="288"/>
      <c r="V428" s="288"/>
      <c r="W428" s="288" t="s">
        <v>217</v>
      </c>
      <c r="X428" s="288" t="s">
        <v>664</v>
      </c>
      <c r="Y428" s="289">
        <f>SUM(R222)</f>
        <v>0</v>
      </c>
      <c r="Z428" s="290" t="str">
        <f t="shared" ca="1" si="0"/>
        <v>--</v>
      </c>
      <c r="AA428" s="234"/>
      <c r="AB428" s="234"/>
      <c r="AC428" s="234"/>
      <c r="AD428" s="234"/>
      <c r="AN428" s="23"/>
      <c r="AO428" s="23"/>
      <c r="BF428" s="5"/>
      <c r="BG428" s="5"/>
    </row>
    <row r="429" spans="8:59" ht="13.9" customHeight="1" x14ac:dyDescent="0.3">
      <c r="H429" s="87"/>
      <c r="M429" s="87"/>
      <c r="N429" s="87"/>
      <c r="O429" s="87"/>
      <c r="Q429" s="24"/>
      <c r="R429" s="244"/>
      <c r="S429" s="286" t="s">
        <v>42</v>
      </c>
      <c r="T429" s="288"/>
      <c r="U429" s="288"/>
      <c r="V429" s="288"/>
      <c r="W429" s="288" t="s">
        <v>732</v>
      </c>
      <c r="X429" s="288"/>
      <c r="Y429" s="289">
        <f>SUM(Y430:Y432)</f>
        <v>0</v>
      </c>
      <c r="Z429" s="290" t="str">
        <f t="shared" ca="1" si="0"/>
        <v>--</v>
      </c>
      <c r="AA429" s="234"/>
      <c r="AB429" s="234"/>
      <c r="AC429" s="234"/>
      <c r="AD429" s="234"/>
      <c r="AN429" s="23"/>
      <c r="AO429" s="23"/>
      <c r="BF429" s="5"/>
      <c r="BG429" s="5"/>
    </row>
    <row r="430" spans="8:59" ht="13.9" customHeight="1" x14ac:dyDescent="0.3">
      <c r="H430" s="87"/>
      <c r="M430" s="87"/>
      <c r="N430" s="87"/>
      <c r="O430" s="87"/>
      <c r="Q430" s="24"/>
      <c r="R430" s="244"/>
      <c r="S430" s="212" t="s">
        <v>60</v>
      </c>
      <c r="T430" s="234"/>
      <c r="U430" s="234"/>
      <c r="V430" s="234"/>
      <c r="W430" s="234" t="s">
        <v>663</v>
      </c>
      <c r="X430" s="234" t="s">
        <v>348</v>
      </c>
      <c r="Y430" s="235">
        <f>SUM(R232)</f>
        <v>0</v>
      </c>
      <c r="Z430" s="284" t="str">
        <f t="shared" ca="1" si="0"/>
        <v>--</v>
      </c>
      <c r="AA430" s="234"/>
      <c r="AB430" s="234"/>
      <c r="AC430" s="234"/>
      <c r="AD430" s="234"/>
      <c r="AN430" s="23"/>
      <c r="AO430" s="23"/>
      <c r="BF430" s="5"/>
      <c r="BG430" s="5"/>
    </row>
    <row r="431" spans="8:59" ht="13.9" customHeight="1" x14ac:dyDescent="0.3">
      <c r="H431" s="87"/>
      <c r="M431" s="87"/>
      <c r="N431" s="87"/>
      <c r="O431" s="87"/>
      <c r="Q431" s="24"/>
      <c r="R431" s="244"/>
      <c r="S431" s="212" t="s">
        <v>640</v>
      </c>
      <c r="T431" s="234"/>
      <c r="U431" s="234"/>
      <c r="V431" s="234"/>
      <c r="W431" s="234" t="s">
        <v>663</v>
      </c>
      <c r="X431" s="234" t="s">
        <v>664</v>
      </c>
      <c r="Y431" s="235">
        <f>SUM(R234)</f>
        <v>0</v>
      </c>
      <c r="Z431" s="284" t="str">
        <f t="shared" ca="1" si="0"/>
        <v>--</v>
      </c>
      <c r="AA431" s="234"/>
      <c r="AB431" s="234"/>
      <c r="AC431" s="234"/>
      <c r="AD431" s="234"/>
      <c r="AN431" s="23"/>
      <c r="AO431" s="23"/>
      <c r="BF431" s="5"/>
      <c r="BG431" s="5"/>
    </row>
    <row r="432" spans="8:59" ht="13.9" customHeight="1" x14ac:dyDescent="0.3">
      <c r="H432" s="87"/>
      <c r="M432" s="87"/>
      <c r="N432" s="87"/>
      <c r="O432" s="87"/>
      <c r="Q432" s="24"/>
      <c r="R432" s="244"/>
      <c r="S432" s="212" t="s">
        <v>641</v>
      </c>
      <c r="T432" s="234"/>
      <c r="U432" s="234"/>
      <c r="V432" s="234"/>
      <c r="W432" s="234" t="s">
        <v>663</v>
      </c>
      <c r="X432" s="234" t="s">
        <v>665</v>
      </c>
      <c r="Y432" s="235">
        <f>SUM(R322)</f>
        <v>0</v>
      </c>
      <c r="Z432" s="284" t="str">
        <f t="shared" ca="1" si="0"/>
        <v>--</v>
      </c>
      <c r="AA432" s="234"/>
      <c r="AB432" s="234"/>
      <c r="AC432" s="234"/>
      <c r="AD432" s="234"/>
      <c r="AN432" s="23"/>
      <c r="AO432" s="23"/>
      <c r="BF432" s="5"/>
      <c r="BG432" s="5"/>
    </row>
    <row r="433" spans="8:59" ht="13.9" customHeight="1" x14ac:dyDescent="0.3">
      <c r="H433" s="87"/>
      <c r="M433" s="87"/>
      <c r="N433" s="87"/>
      <c r="O433" s="87"/>
      <c r="Q433" s="24"/>
      <c r="R433" s="244"/>
      <c r="S433" s="291" t="str">
        <f>B242</f>
        <v>Rakenteiden purkaminen</v>
      </c>
      <c r="T433" s="288"/>
      <c r="U433" s="288"/>
      <c r="V433" s="288"/>
      <c r="W433" s="288" t="s">
        <v>655</v>
      </c>
      <c r="X433" s="288" t="s">
        <v>385</v>
      </c>
      <c r="Y433" s="289">
        <f>SUM(R253,R249,R245)</f>
        <v>0</v>
      </c>
      <c r="Z433" s="290" t="str">
        <f t="shared" ca="1" si="0"/>
        <v>--</v>
      </c>
      <c r="AA433" s="234"/>
      <c r="AB433" s="234"/>
      <c r="AC433" s="234"/>
      <c r="AD433" s="234"/>
      <c r="AN433" s="23"/>
      <c r="AO433" s="23"/>
      <c r="BF433" s="5"/>
      <c r="BG433" s="5"/>
    </row>
    <row r="434" spans="8:59" ht="13.9" customHeight="1" x14ac:dyDescent="0.3">
      <c r="H434" s="87"/>
      <c r="M434" s="87"/>
      <c r="N434" s="87"/>
      <c r="O434" s="87"/>
      <c r="Q434" s="24"/>
      <c r="R434" s="244"/>
      <c r="S434" s="291" t="str">
        <f>B257</f>
        <v>Poistettavien rakenteiden ja puhdistukseen päättämiseen liittyvien materiaalien kuljetukset</v>
      </c>
      <c r="T434" s="288"/>
      <c r="U434" s="288"/>
      <c r="V434" s="288"/>
      <c r="W434" s="288" t="s">
        <v>730</v>
      </c>
      <c r="X434" s="288" t="s">
        <v>385</v>
      </c>
      <c r="Y434" s="289">
        <f ca="1">SUM(Y435:Y436)</f>
        <v>0</v>
      </c>
      <c r="Z434" s="290" t="str">
        <f t="shared" ca="1" si="0"/>
        <v>--</v>
      </c>
      <c r="AA434" s="234"/>
      <c r="AB434" s="234"/>
      <c r="AC434" s="234"/>
      <c r="AD434" s="234"/>
      <c r="AN434" s="23"/>
      <c r="AO434" s="23"/>
      <c r="BF434" s="5"/>
      <c r="BG434" s="5"/>
    </row>
    <row r="435" spans="8:59" ht="13.9" customHeight="1" x14ac:dyDescent="0.3">
      <c r="H435" s="87"/>
      <c r="M435" s="87"/>
      <c r="N435" s="87"/>
      <c r="O435" s="87"/>
      <c r="Q435" s="24"/>
      <c r="R435" s="244"/>
      <c r="S435" s="252" t="s">
        <v>40</v>
      </c>
      <c r="T435" s="234"/>
      <c r="U435" s="234"/>
      <c r="V435" s="234"/>
      <c r="W435" s="234" t="s">
        <v>40</v>
      </c>
      <c r="X435" s="234" t="s">
        <v>385</v>
      </c>
      <c r="Y435" s="235">
        <f>SUM(AB260,AB265,AB270,AB275,AB280)</f>
        <v>0</v>
      </c>
      <c r="Z435" s="284" t="str">
        <f t="shared" ca="1" si="0"/>
        <v>--</v>
      </c>
      <c r="AA435" s="234"/>
      <c r="AB435" s="234"/>
      <c r="AC435" s="234"/>
      <c r="AD435" s="234"/>
      <c r="AN435" s="23"/>
      <c r="AO435" s="23"/>
      <c r="BF435" s="5"/>
      <c r="BG435" s="5"/>
    </row>
    <row r="436" spans="8:59" ht="13.9" customHeight="1" x14ac:dyDescent="0.3">
      <c r="H436" s="87"/>
      <c r="M436" s="87"/>
      <c r="N436" s="87"/>
      <c r="O436" s="87"/>
      <c r="Q436" s="24"/>
      <c r="R436" s="244"/>
      <c r="S436" s="252" t="s">
        <v>637</v>
      </c>
      <c r="T436" s="234"/>
      <c r="U436" s="234"/>
      <c r="V436" s="234"/>
      <c r="W436" s="234" t="s">
        <v>40</v>
      </c>
      <c r="X436" s="234" t="s">
        <v>385</v>
      </c>
      <c r="Y436" s="235">
        <f ca="1">SUM(AG260,AG265,AG270,AG275,AG280)</f>
        <v>0</v>
      </c>
      <c r="Z436" s="284" t="str">
        <f t="shared" ca="1" si="0"/>
        <v>--</v>
      </c>
      <c r="AA436" s="234"/>
      <c r="AB436" s="234"/>
      <c r="AC436" s="234"/>
      <c r="AD436" s="234"/>
      <c r="AN436" s="23"/>
      <c r="AO436" s="23"/>
      <c r="BF436" s="5"/>
      <c r="BG436" s="5"/>
    </row>
    <row r="437" spans="8:59" ht="13.9" customHeight="1" x14ac:dyDescent="0.3">
      <c r="H437" s="87"/>
      <c r="M437" s="87"/>
      <c r="N437" s="87"/>
      <c r="O437" s="87"/>
      <c r="Q437" s="24"/>
      <c r="R437" s="244"/>
      <c r="S437" s="212" t="str">
        <f>B287</f>
        <v>Jätteiden loppusijoitus</v>
      </c>
      <c r="T437" s="234"/>
      <c r="U437" s="234"/>
      <c r="V437" s="234"/>
      <c r="W437" s="234" t="s">
        <v>662</v>
      </c>
      <c r="X437" s="234" t="s">
        <v>385</v>
      </c>
      <c r="Y437" s="235"/>
      <c r="Z437" s="284" t="str">
        <f t="shared" ca="1" si="0"/>
        <v>--</v>
      </c>
      <c r="AA437" s="234"/>
      <c r="AB437" s="234"/>
      <c r="AC437" s="234"/>
      <c r="AD437" s="234"/>
      <c r="AN437" s="23"/>
      <c r="AO437" s="23"/>
      <c r="BF437" s="5"/>
      <c r="BG437" s="5"/>
    </row>
    <row r="438" spans="8:59" ht="13.9" customHeight="1" x14ac:dyDescent="0.3">
      <c r="H438" s="87"/>
      <c r="M438" s="87"/>
      <c r="N438" s="87"/>
      <c r="O438" s="87"/>
      <c r="Q438" s="24"/>
      <c r="R438" s="244"/>
      <c r="S438" s="292" t="str">
        <f>B289</f>
        <v>Poistettujen kertakäyttöisten rakenteiden ja materiaalien jatkokäsittely (pl. maa-ainekset)</v>
      </c>
      <c r="T438" s="288"/>
      <c r="U438" s="288"/>
      <c r="V438" s="288"/>
      <c r="W438" s="288" t="s">
        <v>662</v>
      </c>
      <c r="X438" s="288" t="s">
        <v>385</v>
      </c>
      <c r="Y438" s="289">
        <f>SUM(R291,R294,R297,R300,R303,R306)</f>
        <v>0</v>
      </c>
      <c r="Z438" s="290" t="str">
        <f t="shared" ca="1" si="0"/>
        <v>--</v>
      </c>
      <c r="AA438" s="234"/>
      <c r="AB438" s="234"/>
      <c r="AC438" s="234"/>
      <c r="AD438" s="234"/>
      <c r="AN438" s="23"/>
      <c r="AO438" s="23"/>
      <c r="BF438" s="5"/>
      <c r="BG438" s="5"/>
    </row>
    <row r="439" spans="8:59" ht="13.9" customHeight="1" x14ac:dyDescent="0.3">
      <c r="H439" s="87"/>
      <c r="M439" s="87"/>
      <c r="N439" s="87"/>
      <c r="O439" s="87"/>
      <c r="Q439" s="24"/>
      <c r="R439" s="244"/>
      <c r="S439" s="292" t="s">
        <v>671</v>
      </c>
      <c r="T439" s="288"/>
      <c r="U439" s="288"/>
      <c r="V439" s="288"/>
      <c r="W439" s="288" t="s">
        <v>642</v>
      </c>
      <c r="X439" s="288" t="s">
        <v>385</v>
      </c>
      <c r="Y439" s="289">
        <f>SUM(R295,R296,R298,R299,R301,R302,R304,R305,R307,R308)</f>
        <v>0</v>
      </c>
      <c r="Z439" s="290" t="str">
        <f t="shared" ca="1" si="0"/>
        <v>--</v>
      </c>
      <c r="AA439" s="234"/>
      <c r="AB439" s="234"/>
      <c r="AC439" s="234"/>
      <c r="AD439" s="234"/>
      <c r="AN439" s="23"/>
      <c r="AO439" s="23"/>
      <c r="BF439" s="5"/>
      <c r="BG439" s="5"/>
    </row>
    <row r="440" spans="8:59" ht="13.9" customHeight="1" x14ac:dyDescent="0.3">
      <c r="H440" s="87"/>
      <c r="M440" s="87"/>
      <c r="N440" s="87"/>
      <c r="O440" s="87"/>
      <c r="Q440" s="24"/>
      <c r="R440" s="244"/>
      <c r="S440" s="292" t="str">
        <f>B310</f>
        <v>Poistetun maan jatkokäsittely vastaanottopaikassa</v>
      </c>
      <c r="T440" s="288"/>
      <c r="U440" s="288"/>
      <c r="V440" s="288"/>
      <c r="W440" s="288" t="s">
        <v>662</v>
      </c>
      <c r="X440" s="288" t="s">
        <v>385</v>
      </c>
      <c r="Y440" s="289">
        <f>SUM(R312,R314)</f>
        <v>0</v>
      </c>
      <c r="Z440" s="290" t="str">
        <f t="shared" ca="1" si="0"/>
        <v>--</v>
      </c>
      <c r="AA440" s="234"/>
      <c r="AB440" s="234"/>
      <c r="AC440" s="234"/>
      <c r="AD440" s="234"/>
      <c r="AN440" s="23"/>
      <c r="AO440" s="23"/>
      <c r="BF440" s="5"/>
      <c r="BG440" s="5"/>
    </row>
    <row r="441" spans="8:59" ht="13.9" customHeight="1" x14ac:dyDescent="0.3">
      <c r="H441" s="87"/>
      <c r="M441" s="87"/>
      <c r="N441" s="87"/>
      <c r="O441" s="87"/>
      <c r="Q441" s="24"/>
      <c r="R441" s="244"/>
      <c r="S441" s="292" t="s">
        <v>672</v>
      </c>
      <c r="T441" s="288"/>
      <c r="U441" s="288"/>
      <c r="V441" s="288"/>
      <c r="W441" s="288" t="s">
        <v>642</v>
      </c>
      <c r="X441" s="288" t="s">
        <v>385</v>
      </c>
      <c r="Y441" s="289">
        <f>SUM(R315)</f>
        <v>0</v>
      </c>
      <c r="Z441" s="290" t="str">
        <f t="shared" ca="1" si="0"/>
        <v>--</v>
      </c>
      <c r="AA441" s="234"/>
      <c r="AB441" s="234"/>
      <c r="AC441" s="234"/>
      <c r="AD441" s="234"/>
      <c r="AN441" s="23"/>
      <c r="AO441" s="23"/>
      <c r="BF441" s="5"/>
      <c r="BG441" s="5"/>
    </row>
    <row r="442" spans="8:59" ht="13.9" customHeight="1" x14ac:dyDescent="0.3">
      <c r="H442" s="87"/>
      <c r="M442" s="87"/>
      <c r="N442" s="87"/>
      <c r="O442" s="87"/>
      <c r="Q442" s="24"/>
      <c r="R442" s="244"/>
      <c r="S442" s="23"/>
      <c r="T442" s="234"/>
      <c r="U442" s="234"/>
      <c r="V442" s="234"/>
      <c r="W442" s="234"/>
      <c r="X442" s="234"/>
      <c r="Y442" s="235"/>
      <c r="Z442" s="284"/>
      <c r="AA442" s="234"/>
      <c r="AB442" s="234"/>
      <c r="AC442" s="234"/>
      <c r="AD442" s="234"/>
      <c r="AN442" s="23"/>
      <c r="AO442" s="23"/>
      <c r="BF442" s="5"/>
      <c r="BG442" s="5"/>
    </row>
    <row r="443" spans="8:59" ht="13.9" customHeight="1" x14ac:dyDescent="0.3">
      <c r="H443" s="87"/>
      <c r="M443" s="87"/>
      <c r="N443" s="87"/>
      <c r="O443" s="87"/>
      <c r="Q443" s="24"/>
      <c r="R443" s="244"/>
      <c r="S443" s="23" t="s">
        <v>643</v>
      </c>
      <c r="T443" s="234"/>
      <c r="U443" s="234"/>
      <c r="V443" s="234"/>
      <c r="W443" s="234"/>
      <c r="X443" s="234"/>
      <c r="Y443" s="293">
        <f ca="1">SUM(Y438,Y440,Y433:Y434,Y422:Y429,Y418:Y419,Y414:Y415,Y409,Y402)</f>
        <v>0</v>
      </c>
      <c r="Z443" s="284">
        <f ca="1">SUM(Z438,Z440,Z433:Z434,Z422:Z429,Z418:Z419,Z414:Z415,Z409,Z402)</f>
        <v>0</v>
      </c>
      <c r="AA443" s="234"/>
      <c r="AB443" s="234"/>
      <c r="AC443" s="234"/>
      <c r="AD443" s="234"/>
      <c r="AN443" s="23"/>
      <c r="AO443" s="23"/>
      <c r="BF443" s="5"/>
      <c r="BG443" s="5"/>
    </row>
    <row r="444" spans="8:59" ht="13.9" customHeight="1" x14ac:dyDescent="0.3">
      <c r="H444" s="87"/>
      <c r="M444" s="87"/>
      <c r="N444" s="87"/>
      <c r="O444" s="87"/>
      <c r="Q444" s="24"/>
      <c r="R444" s="244"/>
      <c r="S444" s="103"/>
      <c r="T444" s="234"/>
      <c r="U444" s="234"/>
      <c r="V444" s="234"/>
      <c r="W444" s="234"/>
      <c r="X444" s="234"/>
      <c r="Y444" s="235"/>
      <c r="Z444" s="234"/>
      <c r="AA444" s="234"/>
      <c r="AB444" s="234"/>
      <c r="AC444" s="234"/>
      <c r="AD444" s="234"/>
      <c r="AN444" s="23"/>
      <c r="AO444" s="23"/>
      <c r="BF444" s="5"/>
      <c r="BG444" s="5"/>
    </row>
    <row r="445" spans="8:59" ht="13.9" customHeight="1" x14ac:dyDescent="0.3">
      <c r="H445" s="87"/>
      <c r="M445" s="87"/>
      <c r="N445" s="87"/>
      <c r="O445" s="87"/>
      <c r="Q445" s="24"/>
      <c r="R445" s="244"/>
      <c r="S445" s="103" t="s">
        <v>659</v>
      </c>
      <c r="T445" s="234"/>
      <c r="U445" s="234"/>
      <c r="V445" s="234"/>
      <c r="W445" s="234"/>
      <c r="X445" s="235"/>
      <c r="Y445" s="235">
        <f>SUM(Y413)</f>
        <v>0</v>
      </c>
      <c r="Z445" s="234"/>
      <c r="AA445" s="234"/>
      <c r="AB445" s="234"/>
      <c r="AC445" s="234"/>
      <c r="AD445" s="234"/>
      <c r="AN445" s="23"/>
      <c r="AO445" s="23"/>
      <c r="BF445" s="5"/>
      <c r="BG445" s="5"/>
    </row>
    <row r="446" spans="8:59" ht="13.9" customHeight="1" x14ac:dyDescent="0.3">
      <c r="H446" s="87"/>
      <c r="M446" s="87"/>
      <c r="N446" s="87"/>
      <c r="O446" s="87"/>
      <c r="Q446" s="24"/>
      <c r="R446" s="244"/>
      <c r="S446" s="103" t="s">
        <v>660</v>
      </c>
      <c r="T446" s="234"/>
      <c r="U446" s="234"/>
      <c r="V446" s="234"/>
      <c r="W446" s="234"/>
      <c r="X446" s="234"/>
      <c r="Y446" s="234" t="s">
        <v>661</v>
      </c>
      <c r="Z446" s="234"/>
      <c r="AA446" s="234"/>
      <c r="AB446" s="234"/>
      <c r="AC446" s="234"/>
      <c r="AD446" s="234"/>
      <c r="AN446" s="23"/>
      <c r="AO446" s="23"/>
      <c r="BF446" s="5"/>
      <c r="BG446" s="5"/>
    </row>
    <row r="447" spans="8:59" ht="13.9" customHeight="1" x14ac:dyDescent="0.3">
      <c r="H447" s="87"/>
      <c r="M447" s="87"/>
      <c r="N447" s="87"/>
      <c r="O447" s="87"/>
      <c r="Q447" s="24"/>
      <c r="R447" s="244"/>
      <c r="S447" s="22"/>
      <c r="T447" s="234"/>
      <c r="U447" s="234"/>
      <c r="V447" s="234"/>
      <c r="W447" s="234"/>
      <c r="X447" s="234"/>
      <c r="Y447" s="234"/>
      <c r="Z447" s="234"/>
      <c r="AA447" s="234"/>
      <c r="AB447" s="234"/>
      <c r="AC447" s="234"/>
      <c r="AD447" s="234"/>
      <c r="AN447" s="23"/>
      <c r="AO447" s="23"/>
      <c r="BF447" s="5"/>
      <c r="BG447" s="5"/>
    </row>
    <row r="448" spans="8:59" ht="13.9" customHeight="1" x14ac:dyDescent="0.3">
      <c r="H448" s="87"/>
      <c r="M448" s="87"/>
      <c r="N448" s="87"/>
      <c r="O448" s="87"/>
      <c r="Q448" s="24"/>
      <c r="R448" s="244"/>
      <c r="S448" s="103" t="s">
        <v>386</v>
      </c>
      <c r="T448" s="234"/>
      <c r="U448" s="234"/>
      <c r="V448" s="234"/>
      <c r="W448" s="234"/>
      <c r="X448" s="234"/>
      <c r="Y448" s="235">
        <f>SUM(Y441,Y439)</f>
        <v>0</v>
      </c>
      <c r="Z448" s="234"/>
      <c r="AA448" s="234"/>
      <c r="AB448" s="234"/>
      <c r="AC448" s="234"/>
      <c r="AD448" s="234"/>
      <c r="AN448" s="23"/>
      <c r="AO448" s="23"/>
      <c r="BF448" s="5"/>
      <c r="BG448" s="5"/>
    </row>
    <row r="449" spans="8:59" ht="13.9" hidden="1" customHeight="1" x14ac:dyDescent="0.3">
      <c r="H449" s="87"/>
      <c r="M449" s="87"/>
      <c r="N449" s="87"/>
      <c r="O449" s="87"/>
      <c r="Q449" s="24"/>
      <c r="R449" s="244"/>
      <c r="S449" s="103"/>
      <c r="T449" s="234"/>
      <c r="U449" s="234"/>
      <c r="V449" s="234"/>
      <c r="W449" s="234"/>
      <c r="X449" s="234"/>
      <c r="Y449" s="235"/>
      <c r="Z449" s="234"/>
      <c r="AA449" s="234"/>
      <c r="AB449" s="234"/>
      <c r="AC449" s="234"/>
      <c r="AD449" s="234"/>
      <c r="AN449" s="23"/>
      <c r="AO449" s="23"/>
      <c r="BF449" s="5"/>
      <c r="BG449" s="5"/>
    </row>
    <row r="450" spans="8:59" ht="13.9" hidden="1" customHeight="1" x14ac:dyDescent="0.3">
      <c r="H450" s="87"/>
      <c r="M450" s="87"/>
      <c r="N450" s="87"/>
      <c r="O450" s="87"/>
      <c r="Q450" s="24"/>
      <c r="R450" s="244"/>
      <c r="S450" s="103"/>
      <c r="T450" s="234"/>
      <c r="U450" s="234"/>
      <c r="V450" s="234"/>
      <c r="W450" s="234"/>
      <c r="X450" s="234"/>
      <c r="Y450" s="235"/>
      <c r="Z450" s="234"/>
      <c r="AA450" s="234"/>
      <c r="AB450" s="234"/>
      <c r="AC450" s="234"/>
      <c r="AD450" s="234"/>
      <c r="AN450" s="23"/>
      <c r="AO450" s="23"/>
      <c r="BF450" s="5"/>
      <c r="BG450" s="5"/>
    </row>
    <row r="451" spans="8:59" ht="13.9" hidden="1" customHeight="1" x14ac:dyDescent="0.3">
      <c r="H451" s="87"/>
      <c r="M451" s="87"/>
      <c r="N451" s="87"/>
      <c r="O451" s="87"/>
      <c r="Q451" s="24"/>
      <c r="R451" s="244"/>
      <c r="S451" s="103"/>
      <c r="T451" s="234"/>
      <c r="U451" s="234"/>
      <c r="V451" s="234"/>
      <c r="W451" s="234"/>
      <c r="X451" s="234"/>
      <c r="Y451" s="235"/>
      <c r="Z451" s="234"/>
      <c r="AA451" s="234"/>
      <c r="AB451" s="234"/>
      <c r="AC451" s="234"/>
      <c r="AD451" s="234"/>
      <c r="AN451" s="23"/>
      <c r="AO451" s="23"/>
      <c r="BF451" s="5"/>
      <c r="BG451" s="5"/>
    </row>
    <row r="452" spans="8:59" ht="13.9" hidden="1" customHeight="1" x14ac:dyDescent="0.3">
      <c r="H452" s="87"/>
      <c r="M452" s="87"/>
      <c r="N452" s="87"/>
      <c r="O452" s="87"/>
      <c r="Q452" s="24"/>
      <c r="R452" s="244"/>
      <c r="S452" s="103"/>
      <c r="T452" s="234"/>
      <c r="U452" s="234"/>
      <c r="V452" s="234"/>
      <c r="W452" s="234"/>
      <c r="X452" s="234"/>
      <c r="Y452" s="235"/>
      <c r="Z452" s="234"/>
      <c r="AA452" s="234"/>
      <c r="AB452" s="234"/>
      <c r="AC452" s="234"/>
      <c r="AD452" s="234"/>
      <c r="AN452" s="23"/>
      <c r="AO452" s="23"/>
      <c r="BF452" s="5"/>
      <c r="BG452" s="5"/>
    </row>
    <row r="453" spans="8:59" ht="13.9" hidden="1" customHeight="1" x14ac:dyDescent="0.3">
      <c r="H453" s="87"/>
      <c r="M453" s="87"/>
      <c r="N453" s="87"/>
      <c r="O453" s="87"/>
      <c r="Q453" s="24"/>
      <c r="R453" s="244"/>
      <c r="S453" s="103"/>
      <c r="T453" s="234"/>
      <c r="U453" s="234"/>
      <c r="V453" s="234"/>
      <c r="W453" s="234"/>
      <c r="X453" s="234"/>
      <c r="Y453" s="235"/>
      <c r="Z453" s="234"/>
      <c r="AA453" s="234"/>
      <c r="AB453" s="234"/>
      <c r="AC453" s="234"/>
      <c r="AD453" s="234"/>
      <c r="AN453" s="23"/>
      <c r="AO453" s="23"/>
      <c r="BF453" s="5"/>
      <c r="BG453" s="5"/>
    </row>
    <row r="454" spans="8:59" ht="13.9" hidden="1" customHeight="1" x14ac:dyDescent="0.3">
      <c r="H454" s="87"/>
      <c r="M454" s="87"/>
      <c r="N454" s="87"/>
      <c r="O454" s="87"/>
      <c r="Q454" s="24"/>
      <c r="R454" s="244"/>
      <c r="S454" s="103"/>
      <c r="T454" s="234"/>
      <c r="U454" s="234"/>
      <c r="V454" s="234"/>
      <c r="W454" s="234"/>
      <c r="X454" s="234"/>
      <c r="Y454" s="235"/>
      <c r="Z454" s="234"/>
      <c r="AA454" s="234"/>
      <c r="AB454" s="234"/>
      <c r="AC454" s="234"/>
      <c r="AD454" s="234"/>
      <c r="AN454" s="23"/>
      <c r="AO454" s="23"/>
      <c r="BF454" s="5"/>
      <c r="BG454" s="5"/>
    </row>
    <row r="455" spans="8:59" ht="13.9" hidden="1" customHeight="1" x14ac:dyDescent="0.3">
      <c r="H455" s="87"/>
      <c r="M455" s="87"/>
      <c r="N455" s="87"/>
      <c r="O455" s="87"/>
      <c r="Q455" s="24"/>
      <c r="R455" s="244"/>
      <c r="S455" s="103"/>
      <c r="T455" s="234"/>
      <c r="U455" s="234"/>
      <c r="V455" s="234"/>
      <c r="W455" s="234"/>
      <c r="X455" s="234"/>
      <c r="Y455" s="235"/>
      <c r="Z455" s="234"/>
      <c r="AA455" s="234"/>
      <c r="AB455" s="234"/>
      <c r="AC455" s="234"/>
      <c r="AD455" s="234"/>
      <c r="AN455" s="23"/>
      <c r="AO455" s="23"/>
      <c r="BF455" s="5"/>
      <c r="BG455" s="5"/>
    </row>
    <row r="456" spans="8:59" ht="13.9" hidden="1" customHeight="1" x14ac:dyDescent="0.3">
      <c r="H456" s="87"/>
      <c r="M456" s="87"/>
      <c r="N456" s="87"/>
      <c r="O456" s="87"/>
      <c r="Q456" s="24"/>
      <c r="R456" s="244"/>
      <c r="S456" s="103"/>
      <c r="T456" s="234"/>
      <c r="U456" s="234"/>
      <c r="V456" s="234"/>
      <c r="W456" s="234"/>
      <c r="X456" s="234"/>
      <c r="Y456" s="235"/>
      <c r="Z456" s="234"/>
      <c r="AA456" s="234"/>
      <c r="AB456" s="234"/>
      <c r="AC456" s="234"/>
      <c r="AD456" s="234"/>
      <c r="AN456" s="23"/>
      <c r="AO456" s="23"/>
      <c r="BF456" s="5"/>
      <c r="BG456" s="5"/>
    </row>
    <row r="457" spans="8:59" ht="13.9" hidden="1" customHeight="1" x14ac:dyDescent="0.3">
      <c r="H457" s="87"/>
      <c r="M457" s="87"/>
      <c r="N457" s="87"/>
      <c r="O457" s="87"/>
      <c r="Q457" s="24"/>
      <c r="R457" s="244"/>
      <c r="S457" s="103"/>
      <c r="T457" s="234"/>
      <c r="U457" s="234"/>
      <c r="V457" s="234"/>
      <c r="W457" s="234"/>
      <c r="X457" s="234"/>
      <c r="Y457" s="235"/>
      <c r="Z457" s="234"/>
      <c r="AA457" s="234"/>
      <c r="AB457" s="234"/>
      <c r="AC457" s="234"/>
      <c r="AD457" s="234"/>
      <c r="AN457" s="23"/>
      <c r="AO457" s="23"/>
      <c r="BF457" s="5"/>
      <c r="BG457" s="5"/>
    </row>
    <row r="458" spans="8:59" ht="13.9" hidden="1" customHeight="1" x14ac:dyDescent="0.3">
      <c r="H458" s="87"/>
      <c r="M458" s="87"/>
      <c r="N458" s="87"/>
      <c r="O458" s="87"/>
      <c r="Q458" s="24"/>
      <c r="R458" s="244"/>
      <c r="S458" s="103"/>
      <c r="T458" s="234"/>
      <c r="U458" s="234"/>
      <c r="V458" s="234"/>
      <c r="W458" s="234"/>
      <c r="X458" s="234"/>
      <c r="Y458" s="235"/>
      <c r="Z458" s="234"/>
      <c r="AA458" s="234"/>
      <c r="AB458" s="234"/>
      <c r="AC458" s="234"/>
      <c r="AD458" s="234"/>
      <c r="AN458" s="23"/>
      <c r="AO458" s="23"/>
      <c r="BF458" s="5"/>
      <c r="BG458" s="5"/>
    </row>
    <row r="459" spans="8:59" ht="13.9" hidden="1" customHeight="1" x14ac:dyDescent="0.3">
      <c r="H459" s="87"/>
      <c r="M459" s="87"/>
      <c r="N459" s="87"/>
      <c r="O459" s="87"/>
      <c r="Q459" s="24"/>
      <c r="R459" s="244"/>
      <c r="S459" s="103"/>
      <c r="T459" s="234"/>
      <c r="U459" s="234"/>
      <c r="V459" s="234"/>
      <c r="W459" s="234"/>
      <c r="X459" s="234"/>
      <c r="Y459" s="235"/>
      <c r="Z459" s="234"/>
      <c r="AA459" s="234"/>
      <c r="AB459" s="234"/>
      <c r="AC459" s="234"/>
      <c r="AD459" s="234"/>
      <c r="AN459" s="23"/>
      <c r="AO459" s="23"/>
      <c r="BF459" s="5"/>
      <c r="BG459" s="5"/>
    </row>
    <row r="460" spans="8:59" ht="13.9" hidden="1" customHeight="1" x14ac:dyDescent="0.3">
      <c r="H460" s="87"/>
      <c r="M460" s="87"/>
      <c r="N460" s="87"/>
      <c r="O460" s="87"/>
      <c r="Q460" s="24"/>
      <c r="R460" s="244"/>
      <c r="S460" s="103"/>
      <c r="T460" s="234"/>
      <c r="U460" s="234"/>
      <c r="V460" s="234"/>
      <c r="W460" s="234"/>
      <c r="X460" s="234"/>
      <c r="Y460" s="235"/>
      <c r="Z460" s="234"/>
      <c r="AA460" s="234"/>
      <c r="AB460" s="234"/>
      <c r="AC460" s="234"/>
      <c r="AD460" s="234"/>
      <c r="AN460" s="23"/>
      <c r="AO460" s="23"/>
      <c r="BF460" s="5"/>
      <c r="BG460" s="5"/>
    </row>
    <row r="461" spans="8:59" ht="13.9" hidden="1" customHeight="1" x14ac:dyDescent="0.3">
      <c r="H461" s="87"/>
      <c r="M461" s="87"/>
      <c r="N461" s="87"/>
      <c r="O461" s="87"/>
      <c r="Q461" s="24"/>
      <c r="R461" s="244"/>
      <c r="S461" s="103"/>
      <c r="T461" s="234"/>
      <c r="U461" s="234"/>
      <c r="V461" s="234"/>
      <c r="W461" s="234"/>
      <c r="X461" s="234"/>
      <c r="Y461" s="235"/>
      <c r="Z461" s="234"/>
      <c r="AA461" s="234"/>
      <c r="AB461" s="234"/>
      <c r="AC461" s="234"/>
      <c r="AD461" s="234"/>
      <c r="AN461" s="23"/>
      <c r="AO461" s="23"/>
      <c r="BF461" s="5"/>
      <c r="BG461" s="5"/>
    </row>
    <row r="462" spans="8:59" ht="13.9" hidden="1" customHeight="1" x14ac:dyDescent="0.3">
      <c r="H462" s="87"/>
      <c r="M462" s="87"/>
      <c r="N462" s="87"/>
      <c r="O462" s="87"/>
      <c r="Q462" s="24"/>
      <c r="R462" s="244"/>
      <c r="S462" s="103"/>
      <c r="T462" s="234"/>
      <c r="U462" s="234"/>
      <c r="V462" s="234"/>
      <c r="W462" s="234"/>
      <c r="X462" s="234"/>
      <c r="Y462" s="235"/>
      <c r="Z462" s="234"/>
      <c r="AA462" s="234"/>
      <c r="AB462" s="234"/>
      <c r="AC462" s="234"/>
      <c r="AD462" s="234"/>
      <c r="AN462" s="23"/>
      <c r="AO462" s="23"/>
      <c r="BF462" s="5"/>
      <c r="BG462" s="5"/>
    </row>
    <row r="463" spans="8:59" ht="13.9" hidden="1" customHeight="1" x14ac:dyDescent="0.3">
      <c r="H463" s="87"/>
      <c r="M463" s="87"/>
      <c r="N463" s="87"/>
      <c r="O463" s="87"/>
      <c r="Q463" s="24"/>
      <c r="R463" s="244"/>
      <c r="S463" s="103"/>
      <c r="T463" s="234"/>
      <c r="U463" s="234"/>
      <c r="V463" s="234"/>
      <c r="W463" s="234"/>
      <c r="X463" s="234"/>
      <c r="Y463" s="235"/>
      <c r="Z463" s="234"/>
      <c r="AA463" s="234"/>
      <c r="AB463" s="234"/>
      <c r="AC463" s="234"/>
      <c r="AD463" s="234"/>
      <c r="AN463" s="23"/>
      <c r="AO463" s="23"/>
      <c r="BF463" s="5"/>
      <c r="BG463" s="5"/>
    </row>
    <row r="464" spans="8:59" ht="13.9" customHeight="1" x14ac:dyDescent="0.3">
      <c r="H464" s="87"/>
      <c r="M464" s="87"/>
      <c r="N464" s="87"/>
      <c r="O464" s="87"/>
      <c r="Q464" s="24"/>
      <c r="R464" s="244"/>
      <c r="S464" s="103"/>
      <c r="T464" s="234"/>
      <c r="U464" s="234"/>
      <c r="V464" s="234"/>
      <c r="W464" s="234"/>
      <c r="X464" s="234"/>
      <c r="Y464" s="235"/>
      <c r="Z464" s="234"/>
      <c r="AA464" s="234"/>
      <c r="AB464" s="234"/>
      <c r="AC464" s="234"/>
      <c r="AD464" s="234"/>
      <c r="AN464" s="23"/>
      <c r="AO464" s="23"/>
      <c r="BF464" s="5"/>
      <c r="BG464" s="5"/>
    </row>
    <row r="465" spans="8:59" ht="13.9" customHeight="1" x14ac:dyDescent="0.3">
      <c r="H465" s="87"/>
      <c r="M465" s="87"/>
      <c r="N465" s="87"/>
      <c r="O465" s="87"/>
      <c r="Q465" s="24"/>
      <c r="R465" s="244"/>
      <c r="S465" s="103" t="s">
        <v>654</v>
      </c>
      <c r="T465" s="234"/>
      <c r="U465" s="235">
        <f>SUMIFS($Y$402:$Y$441,$W$402:$W$441,S465)</f>
        <v>0</v>
      </c>
      <c r="V465" s="284" t="str">
        <f ca="1">IF(ISERROR(U465/$U$471),"--",U465/$U$471)</f>
        <v>--</v>
      </c>
      <c r="W465" s="234"/>
      <c r="X465" s="234"/>
      <c r="Y465" s="234"/>
      <c r="Z465" s="234"/>
      <c r="AA465" s="234"/>
      <c r="AB465" s="234"/>
      <c r="AC465" s="234"/>
      <c r="AD465" s="234"/>
      <c r="AN465" s="23"/>
      <c r="AO465" s="23"/>
      <c r="BF465" s="5"/>
      <c r="BG465" s="5"/>
    </row>
    <row r="466" spans="8:59" ht="13.9" customHeight="1" x14ac:dyDescent="0.3">
      <c r="H466" s="87"/>
      <c r="M466" s="87"/>
      <c r="N466" s="87"/>
      <c r="O466" s="87"/>
      <c r="Q466" s="24"/>
      <c r="R466" s="244"/>
      <c r="S466" s="103" t="s">
        <v>40</v>
      </c>
      <c r="T466" s="234"/>
      <c r="U466" s="235">
        <f t="shared" ref="U466:U470" ca="1" si="1">SUMIFS($Y$402:$Y$441,$W$402:$W$441,S466)</f>
        <v>0</v>
      </c>
      <c r="V466" s="284" t="str">
        <f t="shared" ref="V466:V471" ca="1" si="2">IF(ISERROR(U466/$U$471),"--",U466/$U$471)</f>
        <v>--</v>
      </c>
      <c r="W466" s="234"/>
      <c r="X466" s="234"/>
      <c r="Y466" s="234"/>
      <c r="Z466" s="234"/>
      <c r="AA466" s="234"/>
      <c r="AB466" s="234"/>
      <c r="AC466" s="234"/>
      <c r="AD466" s="234"/>
      <c r="AN466" s="23"/>
      <c r="AO466" s="23"/>
      <c r="BF466" s="5"/>
      <c r="BG466" s="5"/>
    </row>
    <row r="467" spans="8:59" ht="13.9" customHeight="1" x14ac:dyDescent="0.3">
      <c r="H467" s="87"/>
      <c r="M467" s="87"/>
      <c r="N467" s="87"/>
      <c r="O467" s="87"/>
      <c r="Q467" s="24"/>
      <c r="R467" s="244"/>
      <c r="S467" s="103" t="s">
        <v>655</v>
      </c>
      <c r="T467" s="234"/>
      <c r="U467" s="235">
        <f t="shared" si="1"/>
        <v>0</v>
      </c>
      <c r="V467" s="284" t="str">
        <f t="shared" ca="1" si="2"/>
        <v>--</v>
      </c>
      <c r="W467" s="234"/>
      <c r="X467" s="234"/>
      <c r="Y467" s="234"/>
      <c r="Z467" s="234"/>
      <c r="AA467" s="234"/>
      <c r="AB467" s="234"/>
      <c r="AC467" s="234"/>
      <c r="AD467" s="234"/>
      <c r="AN467" s="23"/>
      <c r="AO467" s="23"/>
      <c r="BF467" s="5"/>
      <c r="BG467" s="5"/>
    </row>
    <row r="468" spans="8:59" ht="13.9" customHeight="1" x14ac:dyDescent="0.3">
      <c r="H468" s="87"/>
      <c r="M468" s="87"/>
      <c r="N468" s="87"/>
      <c r="O468" s="87"/>
      <c r="Q468" s="24"/>
      <c r="R468" s="244"/>
      <c r="S468" s="103" t="s">
        <v>656</v>
      </c>
      <c r="T468" s="234"/>
      <c r="U468" s="235">
        <f t="shared" si="1"/>
        <v>0</v>
      </c>
      <c r="V468" s="284" t="str">
        <f t="shared" ca="1" si="2"/>
        <v>--</v>
      </c>
      <c r="W468" s="234"/>
      <c r="X468" s="234"/>
      <c r="Y468" s="234"/>
      <c r="Z468" s="234"/>
      <c r="AA468" s="234"/>
      <c r="AB468" s="234"/>
      <c r="AC468" s="234"/>
      <c r="AD468" s="234"/>
      <c r="AN468" s="23"/>
      <c r="AO468" s="23"/>
      <c r="BF468" s="5"/>
      <c r="BG468" s="5"/>
    </row>
    <row r="469" spans="8:59" ht="13.9" customHeight="1" x14ac:dyDescent="0.3">
      <c r="H469" s="87"/>
      <c r="M469" s="87"/>
      <c r="N469" s="87"/>
      <c r="O469" s="87"/>
      <c r="Q469" s="24"/>
      <c r="R469" s="244"/>
      <c r="S469" s="103" t="s">
        <v>657</v>
      </c>
      <c r="T469" s="234"/>
      <c r="U469" s="235">
        <f t="shared" si="1"/>
        <v>0</v>
      </c>
      <c r="V469" s="284" t="str">
        <f t="shared" ca="1" si="2"/>
        <v>--</v>
      </c>
      <c r="W469" s="234"/>
      <c r="X469" s="234"/>
      <c r="Y469" s="234"/>
      <c r="Z469" s="234"/>
      <c r="AA469" s="234"/>
      <c r="AB469" s="234"/>
      <c r="AC469" s="234"/>
      <c r="AD469" s="234"/>
      <c r="AN469" s="23"/>
      <c r="AO469" s="23"/>
      <c r="BF469" s="5"/>
      <c r="BG469" s="5"/>
    </row>
    <row r="470" spans="8:59" ht="13.9" customHeight="1" x14ac:dyDescent="0.3">
      <c r="H470" s="87"/>
      <c r="M470" s="87"/>
      <c r="N470" s="87"/>
      <c r="O470" s="87"/>
      <c r="Q470" s="24"/>
      <c r="R470" s="244"/>
      <c r="S470" s="103" t="s">
        <v>663</v>
      </c>
      <c r="T470" s="234"/>
      <c r="U470" s="235">
        <f t="shared" si="1"/>
        <v>0</v>
      </c>
      <c r="V470" s="284" t="str">
        <f t="shared" ca="1" si="2"/>
        <v>--</v>
      </c>
      <c r="W470" s="234"/>
      <c r="X470" s="234"/>
      <c r="Y470" s="234"/>
      <c r="Z470" s="234"/>
      <c r="AA470" s="234"/>
      <c r="AB470" s="234"/>
      <c r="AC470" s="234"/>
      <c r="AD470" s="234"/>
      <c r="AN470" s="23"/>
      <c r="AO470" s="23"/>
      <c r="BF470" s="5"/>
      <c r="BG470" s="5"/>
    </row>
    <row r="471" spans="8:59" ht="13.9" customHeight="1" x14ac:dyDescent="0.3">
      <c r="H471" s="87"/>
      <c r="M471" s="87"/>
      <c r="N471" s="87"/>
      <c r="O471" s="87"/>
      <c r="Q471" s="24"/>
      <c r="R471" s="244"/>
      <c r="S471" s="103" t="s">
        <v>667</v>
      </c>
      <c r="T471" s="234"/>
      <c r="U471" s="235">
        <f ca="1">SUM(U465:U470)</f>
        <v>0</v>
      </c>
      <c r="V471" s="284" t="str">
        <f t="shared" ca="1" si="2"/>
        <v>--</v>
      </c>
      <c r="W471" s="234"/>
      <c r="X471" s="234"/>
      <c r="Y471" s="234"/>
      <c r="Z471" s="234"/>
      <c r="AA471" s="234"/>
      <c r="AB471" s="234"/>
      <c r="AC471" s="234"/>
      <c r="AD471" s="234"/>
      <c r="AN471" s="23"/>
      <c r="AO471" s="23"/>
      <c r="BF471" s="5"/>
      <c r="BG471" s="5"/>
    </row>
  </sheetData>
  <mergeCells count="65">
    <mergeCell ref="C281:G281"/>
    <mergeCell ref="C266:G266"/>
    <mergeCell ref="C324:D324"/>
    <mergeCell ref="C236:D236"/>
    <mergeCell ref="C183:D183"/>
    <mergeCell ref="C184:D184"/>
    <mergeCell ref="C249:G249"/>
    <mergeCell ref="C253:G253"/>
    <mergeCell ref="C245:G245"/>
    <mergeCell ref="C188:D188"/>
    <mergeCell ref="C202:D202"/>
    <mergeCell ref="C212:D212"/>
    <mergeCell ref="C222:D222"/>
    <mergeCell ref="C261:G261"/>
    <mergeCell ref="C271:G271"/>
    <mergeCell ref="C276:G276"/>
    <mergeCell ref="C180:G180"/>
    <mergeCell ref="C182:D182"/>
    <mergeCell ref="C175:D175"/>
    <mergeCell ref="C176:D176"/>
    <mergeCell ref="C174:D174"/>
    <mergeCell ref="C151:D151"/>
    <mergeCell ref="C147:D147"/>
    <mergeCell ref="C171:D171"/>
    <mergeCell ref="C172:G172"/>
    <mergeCell ref="C179:D179"/>
    <mergeCell ref="C168:D168"/>
    <mergeCell ref="C167:D167"/>
    <mergeCell ref="C163:D163"/>
    <mergeCell ref="C164:G164"/>
    <mergeCell ref="C166:D166"/>
    <mergeCell ref="C61:G61"/>
    <mergeCell ref="C66:G66"/>
    <mergeCell ref="C71:G71"/>
    <mergeCell ref="C76:G76"/>
    <mergeCell ref="C80:D80"/>
    <mergeCell ref="C96:G96"/>
    <mergeCell ref="C101:G101"/>
    <mergeCell ref="C106:G106"/>
    <mergeCell ref="C111:G111"/>
    <mergeCell ref="C116:G116"/>
    <mergeCell ref="C120:D120"/>
    <mergeCell ref="C155:D155"/>
    <mergeCell ref="C158:D158"/>
    <mergeCell ref="C160:D160"/>
    <mergeCell ref="C156:G156"/>
    <mergeCell ref="C159:D159"/>
    <mergeCell ref="C137:D137"/>
    <mergeCell ref="C125:D125"/>
    <mergeCell ref="C128:D128"/>
    <mergeCell ref="C131:D131"/>
    <mergeCell ref="C134:D134"/>
    <mergeCell ref="B142:H142"/>
    <mergeCell ref="B143:H143"/>
    <mergeCell ref="C148:G148"/>
    <mergeCell ref="C150:D150"/>
    <mergeCell ref="C152:D152"/>
    <mergeCell ref="C11:G11"/>
    <mergeCell ref="C40:G40"/>
    <mergeCell ref="C56:G56"/>
    <mergeCell ref="C16:G16"/>
    <mergeCell ref="C21:G21"/>
    <mergeCell ref="C26:D26"/>
    <mergeCell ref="C44:G44"/>
    <mergeCell ref="C48:G48"/>
  </mergeCells>
  <conditionalFormatting sqref="G55">
    <cfRule type="expression" dxfId="54" priority="35">
      <formula>(D55="t")</formula>
    </cfRule>
  </conditionalFormatting>
  <conditionalFormatting sqref="G60">
    <cfRule type="expression" dxfId="53" priority="34">
      <formula>(D60="t")</formula>
    </cfRule>
  </conditionalFormatting>
  <conditionalFormatting sqref="G65">
    <cfRule type="expression" dxfId="52" priority="33">
      <formula>(D65="t")</formula>
    </cfRule>
  </conditionalFormatting>
  <conditionalFormatting sqref="G70">
    <cfRule type="expression" dxfId="51" priority="32">
      <formula>(D70="t")</formula>
    </cfRule>
  </conditionalFormatting>
  <conditionalFormatting sqref="G75">
    <cfRule type="expression" dxfId="50" priority="31">
      <formula>(D75="t")</formula>
    </cfRule>
  </conditionalFormatting>
  <conditionalFormatting sqref="G260">
    <cfRule type="expression" dxfId="49" priority="18">
      <formula>(D260="t")</formula>
    </cfRule>
  </conditionalFormatting>
  <conditionalFormatting sqref="G265">
    <cfRule type="expression" dxfId="48" priority="16">
      <formula>(D265="t")</formula>
    </cfRule>
  </conditionalFormatting>
  <conditionalFormatting sqref="G270">
    <cfRule type="expression" dxfId="47" priority="15">
      <formula>(D270="t")</formula>
    </cfRule>
  </conditionalFormatting>
  <conditionalFormatting sqref="G275">
    <cfRule type="expression" dxfId="46" priority="14">
      <formula>(D275="t")</formula>
    </cfRule>
  </conditionalFormatting>
  <conditionalFormatting sqref="G280">
    <cfRule type="expression" dxfId="45" priority="17">
      <formula>(D280="t")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&amp;L&amp;"-,Lihavoitu"&amp;12PIIP-laskentatyökalu&amp;RHuokosilmakäsittely
Sivu &amp;P/&amp;N</oddHeader>
    <oddFooter>&amp;L&amp;G&amp;R&amp;G</oddFooter>
  </headerFooter>
  <ignoredErrors>
    <ignoredError sqref="K297 R297 K300 R300 K303 R303 K306 R306"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36" id="{BCC76A45-B061-4D71-9DE5-6D3D511E54F5}">
            <xm:f>$C$48=Pudotusvalikot!$D$68</xm:f>
            <x14:dxf>
              <fill>
                <patternFill>
                  <bgColor theme="2" tint="0.59996337778862885"/>
                </patternFill>
              </fill>
            </x14:dxf>
          </x14:cfRule>
          <xm:sqref>L40:L41 L44:L45 L48:L49</xm:sqref>
        </x14:conditionalFormatting>
        <x14:conditionalFormatting xmlns:xm="http://schemas.microsoft.com/office/excel/2006/main">
          <x14:cfRule type="expression" priority="30" id="{19691A71-52D2-4FEA-8258-55AF66EE9D72}">
            <xm:f>#REF!=Pudotusvalikot!$D$68</xm:f>
            <x14:dxf>
              <fill>
                <patternFill>
                  <bgColor theme="2" tint="0.59996337778862885"/>
                </patternFill>
              </fill>
            </x14:dxf>
          </x14:cfRule>
          <xm:sqref>L188:L189 L249 L253</xm:sqref>
        </x14:conditionalFormatting>
        <x14:conditionalFormatting xmlns:xm="http://schemas.microsoft.com/office/excel/2006/main">
          <x14:cfRule type="expression" priority="29" id="{E05A770B-1A18-4571-BFB0-64BAE1C3AE3C}">
            <xm:f>#REF!=Pudotusvalikot!$D$68</xm:f>
            <x14:dxf>
              <fill>
                <patternFill>
                  <bgColor theme="2" tint="0.59996337778862885"/>
                </patternFill>
              </fill>
            </x14:dxf>
          </x14:cfRule>
          <xm:sqref>L196</xm:sqref>
        </x14:conditionalFormatting>
        <x14:conditionalFormatting xmlns:xm="http://schemas.microsoft.com/office/excel/2006/main">
          <x14:cfRule type="expression" priority="27" id="{221085DC-BB4C-45ED-B82A-1244C491211F}">
            <xm:f>#REF!=Pudotusvalikot!$D$68</xm:f>
            <x14:dxf>
              <fill>
                <patternFill>
                  <bgColor theme="2" tint="0.59996337778862885"/>
                </patternFill>
              </fill>
            </x14:dxf>
          </x14:cfRule>
          <xm:sqref>L202:L203</xm:sqref>
        </x14:conditionalFormatting>
        <x14:conditionalFormatting xmlns:xm="http://schemas.microsoft.com/office/excel/2006/main">
          <x14:cfRule type="expression" priority="28" id="{4C7400CC-0CF5-4300-97AF-AB81AB299736}">
            <xm:f>#REF!=Pudotusvalikot!$D$68</xm:f>
            <x14:dxf>
              <fill>
                <patternFill>
                  <bgColor theme="2" tint="0.59996337778862885"/>
                </patternFill>
              </fill>
            </x14:dxf>
          </x14:cfRule>
          <xm:sqref>L208</xm:sqref>
        </x14:conditionalFormatting>
        <x14:conditionalFormatting xmlns:xm="http://schemas.microsoft.com/office/excel/2006/main">
          <x14:cfRule type="expression" priority="24" id="{91D7F3A4-E02D-4B01-9D3C-76DF73BB930F}">
            <xm:f>#REF!=Pudotusvalikot!$D$68</xm:f>
            <x14:dxf>
              <fill>
                <patternFill>
                  <bgColor theme="2" tint="0.59996337778862885"/>
                </patternFill>
              </fill>
            </x14:dxf>
          </x14:cfRule>
          <xm:sqref>L212:L213</xm:sqref>
        </x14:conditionalFormatting>
        <x14:conditionalFormatting xmlns:xm="http://schemas.microsoft.com/office/excel/2006/main">
          <x14:cfRule type="expression" priority="22" id="{940C1FC4-1430-4135-85A8-54C6B2973B30}">
            <xm:f>#REF!=Pudotusvalikot!$D$68</xm:f>
            <x14:dxf>
              <fill>
                <patternFill>
                  <bgColor theme="2" tint="0.59996337778862885"/>
                </patternFill>
              </fill>
            </x14:dxf>
          </x14:cfRule>
          <xm:sqref>L222:L223</xm:sqref>
        </x14:conditionalFormatting>
        <x14:conditionalFormatting xmlns:xm="http://schemas.microsoft.com/office/excel/2006/main">
          <x14:cfRule type="expression" priority="23" id="{6102DA10-2D2E-458A-A0BB-4AB7BEC1CB34}">
            <xm:f>#REF!=Pudotusvalikot!$D$68</xm:f>
            <x14:dxf>
              <fill>
                <patternFill>
                  <bgColor theme="2" tint="0.59996337778862885"/>
                </patternFill>
              </fill>
            </x14:dxf>
          </x14:cfRule>
          <xm:sqref>L228</xm:sqref>
        </x14:conditionalFormatting>
        <x14:conditionalFormatting xmlns:xm="http://schemas.microsoft.com/office/excel/2006/main">
          <x14:cfRule type="expression" priority="4" id="{165A3627-351E-4865-855E-3E932F60940C}">
            <xm:f>$C$47=Pudotusvalikot!$D$68</xm:f>
            <x14:dxf>
              <fill>
                <patternFill>
                  <bgColor theme="2" tint="0.59996337778862885"/>
                </patternFill>
              </fill>
            </x14:dxf>
          </x14:cfRule>
          <xm:sqref>L229</xm:sqref>
        </x14:conditionalFormatting>
        <x14:conditionalFormatting xmlns:xm="http://schemas.microsoft.com/office/excel/2006/main">
          <x14:cfRule type="expression" priority="2" id="{1BD8D2A6-A809-4E39-97CE-A5255AE0CA15}">
            <xm:f>$C$55=Pudotusvalikot!$D$68</xm:f>
            <x14:dxf>
              <fill>
                <patternFill>
                  <bgColor theme="2" tint="0.59996337778862885"/>
                </patternFill>
              </fill>
            </x14:dxf>
          </x14:cfRule>
          <xm:sqref>L232 L314:L315 L324</xm:sqref>
        </x14:conditionalFormatting>
        <x14:conditionalFormatting xmlns:xm="http://schemas.microsoft.com/office/excel/2006/main">
          <x14:cfRule type="expression" priority="3" id="{063E3504-6D86-4C1D-97E2-1D25E9D4A1BF}">
            <xm:f>$C$55=Pudotusvalikot!$D$68</xm:f>
            <x14:dxf>
              <fill>
                <patternFill>
                  <bgColor theme="2" tint="0.59996337778862885"/>
                </patternFill>
              </fill>
            </x14:dxf>
          </x14:cfRule>
          <xm:sqref>L234</xm:sqref>
        </x14:conditionalFormatting>
        <x14:conditionalFormatting xmlns:xm="http://schemas.microsoft.com/office/excel/2006/main">
          <x14:cfRule type="expression" priority="13" id="{2453AE40-652C-4B78-858E-1F29E70A151F}">
            <xm:f>$C$55=Pudotusvalikot!$D$68</xm:f>
            <x14:dxf>
              <fill>
                <patternFill>
                  <bgColor theme="2" tint="0.59996337778862885"/>
                </patternFill>
              </fill>
            </x14:dxf>
          </x14:cfRule>
          <xm:sqref>L236</xm:sqref>
        </x14:conditionalFormatting>
        <x14:conditionalFormatting xmlns:xm="http://schemas.microsoft.com/office/excel/2006/main">
          <x14:cfRule type="expression" priority="20" id="{71A97CD1-E5F9-4340-9DB9-832EA8D16B71}">
            <xm:f>$C$48=Pudotusvalikot!$D$68</xm:f>
            <x14:dxf>
              <fill>
                <patternFill>
                  <bgColor theme="2" tint="0.59996337778862885"/>
                </patternFill>
              </fill>
            </x14:dxf>
          </x14:cfRule>
          <xm:sqref>L237</xm:sqref>
        </x14:conditionalFormatting>
        <x14:conditionalFormatting xmlns:xm="http://schemas.microsoft.com/office/excel/2006/main">
          <x14:cfRule type="expression" priority="19" id="{785DAB83-D83B-42FA-BF20-D5432B992003}">
            <xm:f>#REF!=Pudotusvalikot!$D$68</xm:f>
            <x14:dxf>
              <fill>
                <patternFill>
                  <bgColor theme="2" tint="0.59996337778862885"/>
                </patternFill>
              </fill>
            </x14:dxf>
          </x14:cfRule>
          <xm:sqref>L245</xm:sqref>
        </x14:conditionalFormatting>
        <x14:conditionalFormatting xmlns:xm="http://schemas.microsoft.com/office/excel/2006/main">
          <x14:cfRule type="expression" priority="12" id="{4AA4A68C-6112-4DC8-B098-9946F7A1BB95}">
            <xm:f>$C$55=Pudotusvalikot!$D$68</xm:f>
            <x14:dxf>
              <fill>
                <patternFill>
                  <bgColor theme="2" tint="0.59996337778862885"/>
                </patternFill>
              </fill>
            </x14:dxf>
          </x14:cfRule>
          <xm:sqref>L291</xm:sqref>
        </x14:conditionalFormatting>
        <x14:conditionalFormatting xmlns:xm="http://schemas.microsoft.com/office/excel/2006/main">
          <x14:cfRule type="expression" priority="6" id="{40D36377-0257-495D-88FC-ED8FC5DFE1EB}">
            <xm:f>$C$55=Pudotusvalikot!$D$68</xm:f>
            <x14:dxf>
              <fill>
                <patternFill>
                  <bgColor theme="2" tint="0.59996337778862885"/>
                </patternFill>
              </fill>
            </x14:dxf>
          </x14:cfRule>
          <xm:sqref>L294:L308</xm:sqref>
        </x14:conditionalFormatting>
        <x14:conditionalFormatting xmlns:xm="http://schemas.microsoft.com/office/excel/2006/main">
          <x14:cfRule type="expression" priority="11" id="{C05DA8ED-1348-45E4-8FCF-F089796EAE83}">
            <xm:f>$C$55=Pudotusvalikot!$D$68</xm:f>
            <x14:dxf>
              <fill>
                <patternFill>
                  <bgColor theme="2" tint="0.59996337778862885"/>
                </patternFill>
              </fill>
            </x14:dxf>
          </x14:cfRule>
          <xm:sqref>L312</xm:sqref>
        </x14:conditionalFormatting>
        <x14:conditionalFormatting xmlns:xm="http://schemas.microsoft.com/office/excel/2006/main">
          <x14:cfRule type="expression" priority="5" id="{C3E0D1C2-C2A9-4FA3-9249-F5B04DFD89B5}">
            <xm:f>$C$55=Pudotusvalikot!$D$68</xm:f>
            <x14:dxf>
              <fill>
                <patternFill>
                  <bgColor theme="2" tint="0.59996337778862885"/>
                </patternFill>
              </fill>
            </x14:dxf>
          </x14:cfRule>
          <xm:sqref>L322</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60FFCF56-5042-4152-A3F6-42DFEF3F5B91}">
          <x14:formula1>
            <xm:f>Pudotusvalikot!$N$3:$N$7</xm:f>
          </x14:formula1>
          <xm:sqref>C150:C152 C158:C160 C174:C176 C166:C168 C182:C184</xm:sqref>
        </x14:dataValidation>
        <x14:dataValidation type="list" allowBlank="1" showInputMessage="1" showErrorMessage="1" xr:uid="{0856CAE8-72C5-42A1-A55D-7920720A28BC}">
          <x14:formula1>
            <xm:f>Pudotusvalikot!$D$67:$D$106</xm:f>
          </x14:formula1>
          <xm:sqref>C40 C48 C44</xm:sqref>
        </x14:dataValidation>
        <x14:dataValidation type="list" allowBlank="1" showInputMessage="1" showErrorMessage="1" xr:uid="{6DFB5FEE-A112-4093-9B0E-215F2181AF3A}">
          <x14:formula1>
            <xm:f>Pudotusvalikot!$D$67:$D$92</xm:f>
          </x14:formula1>
          <xm:sqref>C249 C253 C245</xm:sqref>
        </x14:dataValidation>
        <x14:dataValidation type="list" errorStyle="warning" allowBlank="1" showInputMessage="1" showErrorMessage="1" xr:uid="{74545736-D402-468B-A1E3-6AE4B8804BA7}">
          <x14:formula1>
            <xm:f>Pudotusvalikot!$B$3:$B$5</xm:f>
          </x14:formula1>
          <xm:sqref>C120 C26 C80 C284:C286</xm:sqref>
        </x14:dataValidation>
        <x14:dataValidation type="list" allowBlank="1" showInputMessage="1" showErrorMessage="1" xr:uid="{B9B47348-1C1E-448A-B21A-0BC5976E45FD}">
          <x14:formula1>
            <xm:f>Pudotusvalikot!$D$14:$D$65</xm:f>
          </x14:formula1>
          <xm:sqref>C156 C261 C266 C271 C276 C281 C11 C21 C16 C180 C148 C101 C106 C111 C96 C61 C116 C66 C71 C76 C56 C172 C164</xm:sqref>
        </x14:dataValidation>
        <x14:dataValidation type="list" allowBlank="1" showInputMessage="1" showErrorMessage="1" xr:uid="{29553FF5-694D-4F32-A617-14AD0FAE3B9E}">
          <x14:formula1>
            <xm:f>Pudotusvalikot!$R$3:$R$6</xm:f>
          </x14:formula1>
          <xm:sqref>C212 C202 C222</xm:sqref>
        </x14:dataValidation>
        <x14:dataValidation type="list" allowBlank="1" showInputMessage="1" showErrorMessage="1" xr:uid="{05354DB8-2504-42C9-A904-F19DD17292FE}">
          <x14:formula1>
            <xm:f>Pudotusvalikot!$T$3:$T$7</xm:f>
          </x14:formula1>
          <xm:sqref>D204 D190 D214 D224</xm:sqref>
        </x14:dataValidation>
        <x14:dataValidation type="list" allowBlank="1" showInputMessage="1" showErrorMessage="1" xr:uid="{D5CCB4A7-0C13-4812-8FAC-9C463439E7DF}">
          <x14:formula1>
            <xm:f>Pudotusvalikot!$J$14:$J$28</xm:f>
          </x14:formula1>
          <xm:sqref>C125:D125 C137:D137 C134:D134 C131:D131 C128:D128</xm:sqref>
        </x14:dataValidation>
        <x14:dataValidation type="list" allowBlank="1" showInputMessage="1" showErrorMessage="1" xr:uid="{97429066-E787-4C87-BC41-D0A5FCC9144D}">
          <x14:formula1>
            <xm:f>Pudotusvalikot!$F$3:$F$7</xm:f>
          </x14:formula1>
          <xm:sqref>D60 D70 D75 D275 D265 D280 D65 D55 D84:D88 F90 D90 D270 D260</xm:sqref>
        </x14:dataValidation>
        <x14:dataValidation type="list" allowBlank="1" showInputMessage="1" showErrorMessage="1" xr:uid="{67528DD4-206B-4EEB-8649-892650DD6098}">
          <x14:formula1>
            <xm:f>Pudotusvalikot!$V$3:$V$9</xm:f>
          </x14:formula1>
          <xm:sqref>C12 C17 C22 C31 C33 C35 C41 C45 C49 C57 C62 C67 C72 C77 C97 C102 C107 C112 C117 C149 C157 C165 C173 C181 C246 C250 C254 C262 C267 C272 C277 C282 C313 C292</xm:sqref>
        </x14:dataValidation>
        <x14:dataValidation type="list" allowBlank="1" showInputMessage="1" showErrorMessage="1" xr:uid="{9C21884E-F04E-4FC4-9905-849A1693869E}">
          <x14:formula1>
            <xm:f>Pudotusvalikot!$R$3:$R$11</xm:f>
          </x14:formula1>
          <xm:sqref>C188</xm:sqref>
        </x14:dataValidation>
        <x14:dataValidation type="list" allowBlank="1" showInputMessage="1" showErrorMessage="1" xr:uid="{34DA5EA3-A6CF-4CDE-A701-3CE9B4735AE7}">
          <x14:formula1>
            <xm:f>Pudotusvalikot!$X$3:$X$7</xm:f>
          </x14:formula1>
          <xm:sqref>D192 D216</xm:sqref>
        </x14:dataValidation>
        <x14:dataValidation type="list" allowBlank="1" showInputMessage="1" showErrorMessage="1" xr:uid="{0F713340-E6A2-4BB8-BBDD-43F5A0B8A7E3}">
          <x14:formula1>
            <xm:f>Pudotusvalikot!$J$3:$J$11</xm:f>
          </x14:formula1>
          <xm:sqref>C324 C236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C51C0-EB9D-4079-B4CA-F33B7BA0C5BC}">
  <sheetPr codeName="Sheet8">
    <tabColor theme="5" tint="0.79998168889431442"/>
  </sheetPr>
  <dimension ref="B1:BG471"/>
  <sheetViews>
    <sheetView zoomScaleNormal="100" zoomScaleSheetLayoutView="100" workbookViewId="0">
      <pane xSplit="2" ySplit="2" topLeftCell="C3" activePane="bottomRight" state="frozen"/>
      <selection pane="topRight" activeCell="C1" sqref="C1"/>
      <selection pane="bottomLeft" activeCell="A3" sqref="A3"/>
      <selection pane="bottomRight" activeCell="B5" sqref="B5"/>
    </sheetView>
  </sheetViews>
  <sheetFormatPr defaultColWidth="9" defaultRowHeight="13.9" customHeight="1" x14ac:dyDescent="0.3"/>
  <cols>
    <col min="1" max="1" width="2.75" style="5" customWidth="1"/>
    <col min="2" max="2" width="80.75" style="5" customWidth="1"/>
    <col min="3" max="3" width="20.75" style="13" customWidth="1"/>
    <col min="4" max="4" width="12.75" style="87" bestFit="1" customWidth="1"/>
    <col min="5" max="5" width="2.25" style="5" customWidth="1"/>
    <col min="6" max="6" width="3.75" style="5" customWidth="1"/>
    <col min="7" max="7" width="20.75" style="5" customWidth="1"/>
    <col min="8" max="8" width="9.58203125" style="87" customWidth="1"/>
    <col min="9" max="9" width="11" style="5" customWidth="1"/>
    <col min="10" max="10" width="60.75" style="15" customWidth="1"/>
    <col min="11" max="12" width="15.75" style="13" customWidth="1"/>
    <col min="13" max="13" width="11.5" style="13" bestFit="1" customWidth="1"/>
    <col min="14" max="14" width="2.58203125" style="13" customWidth="1"/>
    <col min="15" max="15" width="80.58203125" style="13" customWidth="1"/>
    <col min="16" max="16" width="2.75" style="5" customWidth="1"/>
    <col min="17" max="17" width="2.75" style="142" customWidth="1"/>
    <col min="18" max="18" width="15.75" style="143" customWidth="1"/>
    <col min="19" max="19" width="15.75" style="144" customWidth="1"/>
    <col min="20" max="20" width="26.83203125" style="23" bestFit="1" customWidth="1"/>
    <col min="21" max="37" width="25.75" style="22" customWidth="1"/>
    <col min="38" max="39" width="15.75" style="22" customWidth="1"/>
    <col min="40" max="41" width="9" style="22"/>
    <col min="42" max="59" width="9" style="23"/>
    <col min="60" max="16384" width="9" style="5"/>
  </cols>
  <sheetData>
    <row r="1" spans="2:59" s="31" customFormat="1" ht="15.5" x14ac:dyDescent="0.3">
      <c r="C1" s="34"/>
      <c r="D1" s="84"/>
      <c r="H1" s="84"/>
      <c r="J1" s="33"/>
      <c r="K1" s="34"/>
      <c r="L1" s="34"/>
      <c r="M1" s="34"/>
      <c r="N1" s="34"/>
      <c r="O1" s="34"/>
      <c r="Q1" s="133"/>
      <c r="R1" s="98"/>
      <c r="S1" s="108"/>
      <c r="T1" s="37"/>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3">
      <c r="B2" s="8" t="s">
        <v>58</v>
      </c>
      <c r="C2" s="375"/>
      <c r="D2" s="376"/>
      <c r="E2" s="377"/>
      <c r="F2" s="378" t="s">
        <v>643</v>
      </c>
      <c r="G2" s="379" t="str">
        <f>IF(ISNUMBER(C4),U471,"")</f>
        <v/>
      </c>
      <c r="H2" s="380" t="s">
        <v>172</v>
      </c>
      <c r="J2" s="26"/>
      <c r="K2" s="27"/>
      <c r="L2" s="27"/>
      <c r="M2" s="27"/>
      <c r="N2" s="27"/>
      <c r="O2" s="27"/>
      <c r="Q2" s="139"/>
      <c r="R2" s="140"/>
      <c r="S2" s="141"/>
      <c r="T2" s="30"/>
      <c r="U2" s="29"/>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5" x14ac:dyDescent="0.3">
      <c r="C3" s="34"/>
      <c r="D3" s="84"/>
      <c r="H3" s="84"/>
      <c r="J3" s="33"/>
      <c r="K3" s="34"/>
      <c r="L3" s="34"/>
      <c r="M3" s="34"/>
      <c r="N3" s="34"/>
      <c r="O3" s="34"/>
      <c r="Q3" s="133"/>
      <c r="R3" s="98"/>
      <c r="S3" s="108"/>
      <c r="T3" s="37"/>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5" customHeight="1" x14ac:dyDescent="0.3">
      <c r="B4" s="81" t="s">
        <v>747</v>
      </c>
      <c r="C4" s="154"/>
      <c r="D4" s="84" t="str">
        <f>IF(ISBLANK(C4),"%","")</f>
        <v>%</v>
      </c>
      <c r="G4" s="175" t="str">
        <f>IF(ISNUMBER(C4),C4*'Kohdetiedot ja yhteenveto'!D12,"")</f>
        <v/>
      </c>
      <c r="H4" s="84" t="s">
        <v>175</v>
      </c>
      <c r="J4" s="33"/>
      <c r="K4" s="34"/>
      <c r="L4" s="34"/>
      <c r="M4" s="34"/>
      <c r="N4" s="34"/>
      <c r="O4" s="34"/>
      <c r="Q4" s="133"/>
      <c r="R4" s="98"/>
      <c r="S4" s="108"/>
      <c r="T4" s="37"/>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15.5" x14ac:dyDescent="0.3">
      <c r="C5" s="34"/>
      <c r="D5" s="84"/>
      <c r="H5" s="84"/>
      <c r="J5" s="33"/>
      <c r="K5" s="34"/>
      <c r="L5" s="34"/>
      <c r="M5" s="34"/>
      <c r="N5" s="34"/>
      <c r="O5" s="34"/>
      <c r="Q5" s="133"/>
      <c r="R5" s="98"/>
      <c r="S5" s="108"/>
      <c r="T5" s="37"/>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196" customFormat="1" ht="23" x14ac:dyDescent="0.3">
      <c r="B6" s="197" t="s">
        <v>608</v>
      </c>
      <c r="C6" s="198"/>
      <c r="D6" s="199"/>
      <c r="G6" s="198"/>
      <c r="H6" s="199"/>
      <c r="J6" s="200"/>
      <c r="P6" s="201"/>
      <c r="Q6" s="202"/>
      <c r="R6" s="203"/>
      <c r="S6" s="202"/>
      <c r="T6" s="204"/>
      <c r="U6" s="205"/>
      <c r="V6" s="205"/>
      <c r="W6" s="205"/>
      <c r="X6" s="205"/>
      <c r="Y6" s="205"/>
      <c r="Z6" s="205"/>
      <c r="AA6" s="205"/>
      <c r="AB6" s="205"/>
      <c r="AC6" s="205"/>
      <c r="AD6" s="205"/>
      <c r="AE6" s="205"/>
      <c r="AF6" s="205"/>
      <c r="AG6" s="205"/>
      <c r="AH6" s="205"/>
      <c r="AI6" s="205"/>
      <c r="AJ6" s="205"/>
      <c r="AK6" s="205"/>
      <c r="AL6" s="205"/>
      <c r="AM6" s="205"/>
      <c r="AN6" s="205"/>
      <c r="AO6" s="205"/>
      <c r="AP6" s="204"/>
      <c r="AQ6" s="204"/>
      <c r="AR6" s="204"/>
      <c r="AS6" s="204"/>
      <c r="AT6" s="204"/>
      <c r="AU6" s="204"/>
      <c r="AV6" s="204"/>
      <c r="AW6" s="204"/>
      <c r="AX6" s="204"/>
      <c r="AY6" s="204"/>
      <c r="AZ6" s="204"/>
      <c r="BA6" s="204"/>
      <c r="BB6" s="204"/>
      <c r="BC6" s="204"/>
      <c r="BD6" s="204"/>
      <c r="BE6" s="204"/>
      <c r="BF6" s="204"/>
      <c r="BG6" s="204"/>
    </row>
    <row r="7" spans="2:59" s="31" customFormat="1" ht="15.5" x14ac:dyDescent="0.3">
      <c r="C7" s="34"/>
      <c r="D7" s="84"/>
      <c r="H7" s="84"/>
      <c r="J7" s="33"/>
      <c r="K7" s="34"/>
      <c r="L7" s="34"/>
      <c r="M7" s="34"/>
      <c r="N7" s="34"/>
      <c r="O7" s="34"/>
      <c r="Q7" s="133"/>
      <c r="R7" s="98"/>
      <c r="S7" s="108"/>
      <c r="T7" s="37"/>
      <c r="U7" s="36"/>
      <c r="V7" s="36"/>
      <c r="W7" s="36"/>
      <c r="X7" s="36"/>
      <c r="Y7" s="36"/>
      <c r="Z7" s="36"/>
      <c r="AA7" s="36"/>
      <c r="AB7" s="36"/>
      <c r="AC7" s="36"/>
      <c r="AD7" s="36"/>
      <c r="AE7" s="36"/>
      <c r="AF7" s="36"/>
      <c r="AG7" s="36"/>
      <c r="AH7" s="36"/>
      <c r="AI7" s="36"/>
      <c r="AJ7" s="36"/>
      <c r="AK7" s="36"/>
      <c r="AL7" s="36"/>
      <c r="AM7" s="36"/>
      <c r="AN7" s="36"/>
      <c r="AO7" s="36"/>
      <c r="AP7" s="37"/>
      <c r="AQ7" s="37"/>
      <c r="AR7" s="37"/>
      <c r="AS7" s="37"/>
      <c r="AT7" s="37"/>
      <c r="AU7" s="37"/>
      <c r="AV7" s="37"/>
      <c r="AW7" s="37"/>
      <c r="AX7" s="37"/>
      <c r="AY7" s="37"/>
      <c r="AZ7" s="37"/>
      <c r="BA7" s="37"/>
      <c r="BB7" s="37"/>
      <c r="BC7" s="37"/>
      <c r="BD7" s="37"/>
      <c r="BE7" s="37"/>
      <c r="BF7" s="37"/>
      <c r="BG7" s="37"/>
    </row>
    <row r="8" spans="2:59" s="298" customFormat="1" ht="18" x14ac:dyDescent="0.3">
      <c r="B8" s="295" t="s">
        <v>483</v>
      </c>
      <c r="C8" s="296"/>
      <c r="D8" s="297"/>
      <c r="G8" s="296"/>
      <c r="H8" s="297"/>
      <c r="K8" s="296"/>
      <c r="L8" s="296"/>
      <c r="M8" s="297"/>
      <c r="N8" s="297"/>
      <c r="O8" s="300"/>
      <c r="P8" s="320"/>
      <c r="Q8" s="304"/>
      <c r="S8" s="303"/>
      <c r="T8" s="303"/>
      <c r="U8" s="303"/>
      <c r="V8" s="303"/>
      <c r="W8" s="303"/>
      <c r="X8" s="303"/>
      <c r="Y8" s="303"/>
      <c r="Z8" s="303"/>
      <c r="AA8" s="303"/>
      <c r="AB8" s="303"/>
      <c r="AC8" s="303"/>
      <c r="AD8" s="303"/>
      <c r="AE8" s="303"/>
      <c r="AF8" s="303"/>
      <c r="AG8" s="303"/>
      <c r="AH8" s="303"/>
      <c r="AI8" s="303"/>
      <c r="AJ8" s="303"/>
      <c r="AK8" s="303"/>
      <c r="AL8" s="303"/>
      <c r="AM8" s="303"/>
      <c r="AN8" s="304"/>
      <c r="AO8" s="304"/>
      <c r="AP8" s="304"/>
      <c r="AQ8" s="304"/>
      <c r="AR8" s="304"/>
      <c r="AS8" s="304"/>
      <c r="AT8" s="304"/>
      <c r="AU8" s="304"/>
      <c r="AV8" s="304"/>
      <c r="AW8" s="304"/>
      <c r="AX8" s="304"/>
      <c r="AY8" s="304"/>
      <c r="AZ8" s="304"/>
      <c r="BA8" s="304"/>
      <c r="BB8" s="304"/>
      <c r="BC8" s="304"/>
      <c r="BD8" s="304"/>
      <c r="BE8" s="304"/>
    </row>
    <row r="9" spans="2:59" s="31" customFormat="1" ht="15.5" x14ac:dyDescent="0.3">
      <c r="B9" s="9"/>
      <c r="C9" s="34"/>
      <c r="D9" s="84"/>
      <c r="G9" s="34"/>
      <c r="H9" s="84"/>
      <c r="K9" s="38"/>
      <c r="L9" s="38"/>
      <c r="M9" s="84"/>
      <c r="N9" s="84"/>
      <c r="O9" s="255" t="s">
        <v>644</v>
      </c>
      <c r="Q9" s="35"/>
      <c r="R9" s="36" t="s">
        <v>350</v>
      </c>
      <c r="S9" s="36"/>
      <c r="T9" s="36"/>
      <c r="U9" s="36"/>
      <c r="V9" s="36"/>
      <c r="W9" s="36"/>
      <c r="X9" s="36"/>
      <c r="Y9" s="36"/>
      <c r="Z9" s="36"/>
      <c r="AA9" s="36"/>
      <c r="AB9" s="36"/>
      <c r="AC9" s="36"/>
      <c r="AD9" s="36"/>
      <c r="AE9" s="36"/>
      <c r="AF9" s="36"/>
      <c r="AG9" s="36"/>
      <c r="AH9" s="36"/>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5" x14ac:dyDescent="0.3">
      <c r="B10" s="172" t="s">
        <v>438</v>
      </c>
      <c r="C10" s="34"/>
      <c r="D10" s="84"/>
      <c r="G10" s="34"/>
      <c r="H10" s="84"/>
      <c r="K10" s="38" t="s">
        <v>329</v>
      </c>
      <c r="L10" s="38" t="s">
        <v>201</v>
      </c>
      <c r="M10" s="84"/>
      <c r="N10" s="84"/>
      <c r="O10" s="256"/>
      <c r="Q10" s="35"/>
      <c r="R10" s="36" t="s">
        <v>172</v>
      </c>
      <c r="S10" s="36"/>
      <c r="T10" s="36" t="s">
        <v>446</v>
      </c>
      <c r="U10" s="36" t="s">
        <v>445</v>
      </c>
      <c r="V10" s="36" t="s">
        <v>443</v>
      </c>
      <c r="W10" s="36" t="s">
        <v>444</v>
      </c>
      <c r="X10" s="36" t="s">
        <v>447</v>
      </c>
      <c r="Y10" s="36" t="s">
        <v>449</v>
      </c>
      <c r="Z10" s="36" t="s">
        <v>448</v>
      </c>
      <c r="AA10" s="36" t="s">
        <v>202</v>
      </c>
      <c r="AB10" s="36" t="s">
        <v>380</v>
      </c>
      <c r="AC10" s="36" t="s">
        <v>450</v>
      </c>
      <c r="AD10" s="36" t="s">
        <v>381</v>
      </c>
      <c r="AE10" s="36" t="s">
        <v>451</v>
      </c>
      <c r="AF10" s="36" t="s">
        <v>452</v>
      </c>
      <c r="AG10" s="36" t="s">
        <v>638</v>
      </c>
      <c r="AH10" s="36" t="s">
        <v>206</v>
      </c>
      <c r="AI10" s="36" t="s">
        <v>278</v>
      </c>
      <c r="AJ10" s="36" t="s">
        <v>207</v>
      </c>
      <c r="AK10" s="108"/>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46.5" x14ac:dyDescent="0.3">
      <c r="B11" s="170" t="s">
        <v>504</v>
      </c>
      <c r="C11" s="392" t="s">
        <v>93</v>
      </c>
      <c r="D11" s="393"/>
      <c r="E11" s="393"/>
      <c r="F11" s="393"/>
      <c r="G11" s="394"/>
      <c r="H11" s="169"/>
      <c r="J11" s="173" t="s">
        <v>441</v>
      </c>
      <c r="K11" s="96">
        <f>IF(ISNUMBER(L11),L11,IF(OR(C11=Pudotusvalikot!$D$14,C11=Pudotusvalikot!$D$15),Kalusto!$G$96,VLOOKUP(C11,Kalusto!$C$44:$G$83,5,FALSE))*IF(OR(C12=Pudotusvalikot!$V$3,C12=Pudotusvalikot!$V$4),Muut!$E$38,IF(C12=Pudotusvalikot!$V$5,Muut!$E$39,IF(C12=Pudotusvalikot!$V$6,Muut!$E$40,Muut!$E$41))))</f>
        <v>5.7709999999999997E-2</v>
      </c>
      <c r="L11" s="40"/>
      <c r="M11" s="41" t="s">
        <v>200</v>
      </c>
      <c r="N11" s="41"/>
      <c r="O11" s="256"/>
      <c r="Q11" s="47"/>
      <c r="R11" s="50" t="str">
        <f ca="1">IF(AND(NOT(ISNUMBER(AB11)),NOT(ISNUMBER(AG11))),"",IF(ISNUMBER(AB11),AB11,0)+IF(ISNUMBER(AG11),AG11,0))</f>
        <v/>
      </c>
      <c r="S11" s="102" t="s">
        <v>484</v>
      </c>
      <c r="T11" s="48" t="str">
        <f>IF(ISNUMBER(L11),"Kohdetieto",IF(OR(C11=Pudotusvalikot!$D$14,C11=Pudotusvalikot!$D$15),Kalusto!$I$96,VLOOKUP(C11,Kalusto!$C$44:$L$83,7,FALSE)))</f>
        <v>Puoliperävaunu</v>
      </c>
      <c r="U11" s="48">
        <f>IF(ISNUMBER(L11),"Kohdetieto",IF(OR(C11=Pudotusvalikot!$D$14,C11=Pudotusvalikot!$D$15),Kalusto!$J$96,VLOOKUP(C11,Kalusto!$C$44:$L$83,8,FALSE)))</f>
        <v>40</v>
      </c>
      <c r="V11" s="49">
        <f>IF(ISNUMBER(L11),"Kohdetieto",IF(OR(C11=Pudotusvalikot!$D$14,C11=Pudotusvalikot!$D$15),Kalusto!$K$96,VLOOKUP(C11,Kalusto!$C$44:$L$83,9,FALSE)))</f>
        <v>0.8</v>
      </c>
      <c r="W11" s="49" t="str">
        <f>IF(ISNUMBER(L11),"Kohdetieto",IF(OR(C11=Pudotusvalikot!$D$14,C11=Pudotusvalikot!$D$15),Kalusto!$L$96,VLOOKUP(C11,Kalusto!$C$44:$L$83,10,FALSE)))</f>
        <v>maantieajo</v>
      </c>
      <c r="X11" s="50" t="str">
        <f>IF(ISBLANK(C13),"",C13)</f>
        <v/>
      </c>
      <c r="Y11" s="48" t="str">
        <f>IF(ISNUMBER(C14),C14,"")</f>
        <v/>
      </c>
      <c r="Z11" s="50" t="str">
        <f>IF(ISNUMBER(X11/(U11*V11)*Y11),X11/(U11*V11)*Y11,"")</f>
        <v/>
      </c>
      <c r="AA11" s="51">
        <f>IF(ISNUMBER(L11),L11,K11)</f>
        <v>5.7709999999999997E-2</v>
      </c>
      <c r="AB11" s="50" t="str">
        <f>IF(ISNUMBER(Y11*X11*K11),Y11*X11*K11,"")</f>
        <v/>
      </c>
      <c r="AC11" s="50" t="str">
        <f>IF(C26="Kyllä",Y11,"")</f>
        <v/>
      </c>
      <c r="AD11" s="50" t="str">
        <f>IF(C26="Kyllä",IF(ISNUMBER(X11/(U11*V11)),CEILING(X11/(U11*V11),1),""),"")</f>
        <v/>
      </c>
      <c r="AE11" s="50" t="str">
        <f>IF(ISNUMBER(AD11*AC11),AD11*AC11,"")</f>
        <v/>
      </c>
      <c r="AF11" s="51">
        <f ca="1">IF(ISNUMBER(L13),L13,K13)</f>
        <v>0.81247999999999998</v>
      </c>
      <c r="AG11" s="50" t="str">
        <f ca="1">IF(ISNUMBER(AC11*AD11*K13),AC11*AD11*K13,"")</f>
        <v/>
      </c>
      <c r="AH11" s="48">
        <f>IF(T11="Jakelukuorma-auto",0,IF(T11="Maansiirtoauto",4,IF(T11="Puoliperävaunu",6,8)))</f>
        <v>6</v>
      </c>
      <c r="AI11" s="48">
        <f>IF(AND(T11="Jakelukuorma-auto",U11=6),0,IF(AND(T11="Jakelukuorma-auto",U11=15),2,0))</f>
        <v>0</v>
      </c>
      <c r="AJ11" s="48">
        <f>IF(W11="maantieajo",0,1)</f>
        <v>0</v>
      </c>
      <c r="AK11" s="108"/>
      <c r="AL11" s="36"/>
      <c r="AM11" s="36"/>
      <c r="AN11" s="37"/>
      <c r="AO11" s="37"/>
      <c r="AP11" s="37"/>
      <c r="AQ11" s="37"/>
      <c r="AR11" s="37"/>
      <c r="AS11" s="37"/>
      <c r="AT11" s="37"/>
      <c r="AU11" s="37"/>
      <c r="AV11" s="37"/>
      <c r="AW11" s="37"/>
      <c r="AX11" s="37"/>
      <c r="AY11" s="37"/>
      <c r="AZ11" s="37"/>
      <c r="BA11" s="37"/>
      <c r="BB11" s="37"/>
      <c r="BC11" s="37"/>
      <c r="BD11" s="37"/>
      <c r="BE11" s="37"/>
    </row>
    <row r="12" spans="2:59" s="31" customFormat="1" ht="15.5" x14ac:dyDescent="0.3">
      <c r="B12" s="186" t="s">
        <v>506</v>
      </c>
      <c r="C12" s="160" t="s">
        <v>242</v>
      </c>
      <c r="D12" s="34"/>
      <c r="E12" s="34"/>
      <c r="F12" s="34"/>
      <c r="G12" s="34"/>
      <c r="H12" s="59"/>
      <c r="J12" s="173"/>
      <c r="K12" s="173"/>
      <c r="L12" s="173"/>
      <c r="M12" s="41"/>
      <c r="N12" s="41"/>
      <c r="O12" s="256"/>
      <c r="Q12" s="47"/>
      <c r="R12" s="36"/>
      <c r="S12" s="36"/>
      <c r="T12" s="36"/>
      <c r="U12" s="36"/>
      <c r="V12" s="181"/>
      <c r="W12" s="181"/>
      <c r="X12" s="61"/>
      <c r="Y12" s="36"/>
      <c r="Z12" s="61"/>
      <c r="AA12" s="182"/>
      <c r="AB12" s="61"/>
      <c r="AC12" s="61"/>
      <c r="AD12" s="61"/>
      <c r="AE12" s="61"/>
      <c r="AF12" s="182"/>
      <c r="AG12" s="61"/>
      <c r="AH12" s="36"/>
      <c r="AI12" s="36"/>
      <c r="AJ12" s="36"/>
      <c r="AK12" s="108"/>
      <c r="AL12" s="36"/>
      <c r="AM12" s="36"/>
      <c r="AN12" s="37"/>
      <c r="AO12" s="37"/>
      <c r="AP12" s="37"/>
      <c r="AQ12" s="37"/>
      <c r="AR12" s="37"/>
      <c r="AS12" s="37"/>
      <c r="AT12" s="37"/>
      <c r="AU12" s="37"/>
      <c r="AV12" s="37"/>
      <c r="AW12" s="37"/>
      <c r="AX12" s="37"/>
      <c r="AY12" s="37"/>
      <c r="AZ12" s="37"/>
      <c r="BA12" s="37"/>
      <c r="BB12" s="37"/>
      <c r="BC12" s="37"/>
      <c r="BD12" s="37"/>
      <c r="BE12" s="37"/>
    </row>
    <row r="13" spans="2:59" s="31" customFormat="1" ht="15.5" x14ac:dyDescent="0.3">
      <c r="B13" s="45" t="s">
        <v>573</v>
      </c>
      <c r="C13" s="156"/>
      <c r="D13" s="84" t="s">
        <v>52</v>
      </c>
      <c r="G13" s="34"/>
      <c r="H13" s="84"/>
      <c r="J13" s="33" t="s">
        <v>442</v>
      </c>
      <c r="K13" s="96">
        <f ca="1">IF(ISNUMBER(L13),L13,IF($C$132="Ei","",IF(AND($C$132="Kyllä",OR(C11=Pudotusvalikot!$D$14,C11=Pudotusvalikot!$D$15)),Kalusto!$G$97,OFFSET(Kalusto!$G$85,AH11+AJ11+AI11,0,1,1)))*IF(OR(C12=Pudotusvalikot!$V$3,C12=Pudotusvalikot!$V$4),Muut!$E$38,IF(C12=Pudotusvalikot!$V$5,Muut!$E$39,IF(C12=Pudotusvalikot!$V$6,Muut!$E$40,Muut!$E$41))))</f>
        <v>0.81247999999999998</v>
      </c>
      <c r="L13" s="40"/>
      <c r="M13" s="41" t="s">
        <v>204</v>
      </c>
      <c r="N13" s="41"/>
      <c r="O13" s="256"/>
      <c r="P13" s="34"/>
      <c r="Q13" s="52"/>
      <c r="R13" s="50" t="str">
        <f ca="1">IF(ISNUMBER(R11),R11,"")</f>
        <v/>
      </c>
      <c r="S13" s="102" t="s">
        <v>485</v>
      </c>
      <c r="T13" s="36"/>
      <c r="U13" s="36"/>
      <c r="V13" s="36"/>
      <c r="W13" s="36"/>
      <c r="X13" s="36"/>
      <c r="Y13" s="36"/>
      <c r="Z13" s="36"/>
      <c r="AA13" s="36"/>
      <c r="AB13" s="36"/>
      <c r="AC13" s="36"/>
      <c r="AD13" s="36"/>
      <c r="AE13" s="36"/>
      <c r="AF13" s="36"/>
      <c r="AG13" s="36"/>
      <c r="AH13" s="36"/>
      <c r="AI13" s="36"/>
      <c r="AJ13" s="36"/>
      <c r="AK13" s="108"/>
      <c r="AL13" s="36"/>
      <c r="AM13" s="36"/>
      <c r="AN13" s="37"/>
      <c r="AO13" s="37"/>
      <c r="AP13" s="37"/>
      <c r="AQ13" s="37"/>
      <c r="AR13" s="37"/>
      <c r="AS13" s="37"/>
      <c r="AT13" s="37"/>
      <c r="AU13" s="37"/>
      <c r="AV13" s="37"/>
      <c r="AW13" s="37"/>
      <c r="AX13" s="37"/>
      <c r="AY13" s="37"/>
      <c r="AZ13" s="37"/>
      <c r="BA13" s="37"/>
      <c r="BB13" s="37"/>
      <c r="BC13" s="37"/>
      <c r="BD13" s="37"/>
      <c r="BE13" s="37"/>
    </row>
    <row r="14" spans="2:59" s="31" customFormat="1" ht="15.5" x14ac:dyDescent="0.3">
      <c r="B14" s="45" t="s">
        <v>574</v>
      </c>
      <c r="C14" s="156"/>
      <c r="D14" s="84" t="s">
        <v>5</v>
      </c>
      <c r="G14" s="34"/>
      <c r="H14" s="84"/>
      <c r="I14" s="53"/>
      <c r="J14" s="53"/>
      <c r="K14" s="34"/>
      <c r="L14" s="34"/>
      <c r="M14" s="84"/>
      <c r="N14" s="84"/>
      <c r="O14" s="256"/>
      <c r="P14" s="53"/>
      <c r="Q14" s="52"/>
      <c r="R14" s="36" t="s">
        <v>350</v>
      </c>
      <c r="S14" s="37"/>
      <c r="T14" s="36"/>
      <c r="U14" s="36"/>
      <c r="V14" s="36"/>
      <c r="W14" s="36"/>
      <c r="X14" s="36"/>
      <c r="Y14" s="36"/>
      <c r="Z14" s="36"/>
      <c r="AA14" s="36"/>
      <c r="AB14" s="36"/>
      <c r="AC14" s="36"/>
      <c r="AD14" s="36"/>
      <c r="AE14" s="36"/>
      <c r="AF14" s="36"/>
      <c r="AG14" s="36"/>
      <c r="AH14" s="36"/>
      <c r="AI14" s="36"/>
      <c r="AJ14" s="36"/>
      <c r="AK14" s="108"/>
      <c r="AL14" s="36"/>
      <c r="AM14" s="36"/>
      <c r="AN14" s="37"/>
      <c r="AO14" s="37"/>
      <c r="AP14" s="37"/>
      <c r="AQ14" s="37"/>
      <c r="AR14" s="37"/>
      <c r="AS14" s="37"/>
      <c r="AT14" s="37"/>
      <c r="AU14" s="37"/>
      <c r="AV14" s="37"/>
      <c r="AW14" s="37"/>
      <c r="AX14" s="37"/>
      <c r="AY14" s="37"/>
      <c r="AZ14" s="37"/>
      <c r="BA14" s="37"/>
      <c r="BB14" s="37"/>
      <c r="BC14" s="37"/>
      <c r="BD14" s="37"/>
      <c r="BE14" s="37"/>
    </row>
    <row r="15" spans="2:59" s="31" customFormat="1" ht="15.5" x14ac:dyDescent="0.3">
      <c r="B15" s="172" t="s">
        <v>439</v>
      </c>
      <c r="C15" s="34"/>
      <c r="D15" s="84"/>
      <c r="G15" s="34"/>
      <c r="H15" s="84"/>
      <c r="J15" s="33"/>
      <c r="K15" s="38" t="s">
        <v>329</v>
      </c>
      <c r="L15" s="38" t="s">
        <v>201</v>
      </c>
      <c r="M15" s="84"/>
      <c r="N15" s="84"/>
      <c r="O15" s="256"/>
      <c r="P15" s="34"/>
      <c r="Q15" s="35"/>
      <c r="R15" s="36" t="s">
        <v>172</v>
      </c>
      <c r="S15" s="36"/>
      <c r="T15" s="36" t="s">
        <v>446</v>
      </c>
      <c r="U15" s="36" t="s">
        <v>445</v>
      </c>
      <c r="V15" s="36" t="s">
        <v>443</v>
      </c>
      <c r="W15" s="36" t="s">
        <v>444</v>
      </c>
      <c r="X15" s="36" t="s">
        <v>447</v>
      </c>
      <c r="Y15" s="36" t="s">
        <v>449</v>
      </c>
      <c r="Z15" s="36" t="s">
        <v>448</v>
      </c>
      <c r="AA15" s="36" t="s">
        <v>202</v>
      </c>
      <c r="AB15" s="36" t="s">
        <v>380</v>
      </c>
      <c r="AC15" s="36" t="s">
        <v>450</v>
      </c>
      <c r="AD15" s="36" t="s">
        <v>381</v>
      </c>
      <c r="AE15" s="36" t="s">
        <v>451</v>
      </c>
      <c r="AF15" s="36" t="s">
        <v>452</v>
      </c>
      <c r="AG15" s="36" t="s">
        <v>638</v>
      </c>
      <c r="AH15" s="36" t="s">
        <v>206</v>
      </c>
      <c r="AI15" s="36" t="s">
        <v>278</v>
      </c>
      <c r="AJ15" s="36" t="s">
        <v>207</v>
      </c>
      <c r="AK15" s="108"/>
      <c r="AL15" s="36"/>
      <c r="AM15" s="36"/>
      <c r="AN15" s="37"/>
      <c r="AO15" s="37"/>
      <c r="AP15" s="37"/>
      <c r="AQ15" s="37"/>
      <c r="AR15" s="37"/>
      <c r="AS15" s="37"/>
      <c r="AT15" s="37"/>
      <c r="AU15" s="37"/>
      <c r="AV15" s="37"/>
      <c r="AW15" s="37"/>
      <c r="AX15" s="37"/>
      <c r="AY15" s="37"/>
      <c r="AZ15" s="37"/>
      <c r="BA15" s="37"/>
      <c r="BB15" s="37"/>
      <c r="BC15" s="37"/>
      <c r="BD15" s="37"/>
      <c r="BE15" s="37"/>
    </row>
    <row r="16" spans="2:59" s="31" customFormat="1" ht="46.5" x14ac:dyDescent="0.3">
      <c r="B16" s="170" t="s">
        <v>504</v>
      </c>
      <c r="C16" s="392" t="s">
        <v>93</v>
      </c>
      <c r="D16" s="393"/>
      <c r="E16" s="393"/>
      <c r="F16" s="393"/>
      <c r="G16" s="394"/>
      <c r="H16" s="169"/>
      <c r="J16" s="173" t="s">
        <v>441</v>
      </c>
      <c r="K16" s="96">
        <f>IF(ISNUMBER(L16),L16,IF(OR(C16=Pudotusvalikot!$D$14,C16=Pudotusvalikot!$D$15),Kalusto!$G$96,VLOOKUP(C16,Kalusto!$C$44:$G$83,5,FALSE))*IF(OR(C17=Pudotusvalikot!$V$3,C17=Pudotusvalikot!$V$4),Muut!$E$38,IF(C17=Pudotusvalikot!$V$5,Muut!$E$39,IF(C17=Pudotusvalikot!$V$6,Muut!$E$40,Muut!$E$41))))</f>
        <v>5.7709999999999997E-2</v>
      </c>
      <c r="L16" s="40"/>
      <c r="M16" s="41" t="s">
        <v>200</v>
      </c>
      <c r="N16" s="41"/>
      <c r="O16" s="256"/>
      <c r="Q16" s="47"/>
      <c r="R16" s="50" t="str">
        <f ca="1">IF(AND(NOT(ISNUMBER(AB16)),NOT(ISNUMBER(AG16))),"",IF(ISNUMBER(AB16),AB16,0)+IF(ISNUMBER(AG16),AG16,0))</f>
        <v/>
      </c>
      <c r="S16" s="102" t="s">
        <v>484</v>
      </c>
      <c r="T16" s="48" t="str">
        <f>IF(ISNUMBER(L16),"Kohdetieto",IF(OR(C16=Pudotusvalikot!$D$14,C16=Pudotusvalikot!$D$15),Kalusto!$I$96,VLOOKUP(C16,Kalusto!$C$44:$L$83,7,FALSE)))</f>
        <v>Puoliperävaunu</v>
      </c>
      <c r="U16" s="48">
        <f>IF(ISNUMBER(L16),"Kohdetieto",IF(OR(C16=Pudotusvalikot!$D$14,C16=Pudotusvalikot!$D$15),Kalusto!$J$96,VLOOKUP(C16,Kalusto!$C$44:$L$83,8,FALSE)))</f>
        <v>40</v>
      </c>
      <c r="V16" s="49">
        <f>IF(ISNUMBER(L16),"Kohdetieto",IF(OR(C16=Pudotusvalikot!$D$14,C16=Pudotusvalikot!$D$15),Kalusto!$K$96,VLOOKUP(C16,Kalusto!$C$44:$L$83,9,FALSE)))</f>
        <v>0.8</v>
      </c>
      <c r="W16" s="49" t="str">
        <f>IF(ISNUMBER(L16),"Kohdetieto",IF(OR(C16=Pudotusvalikot!$D$14,C16=Pudotusvalikot!$D$15),Kalusto!$L$96,VLOOKUP(C16,Kalusto!$C$44:$L$83,10,FALSE)))</f>
        <v>maantieajo</v>
      </c>
      <c r="X16" s="50" t="str">
        <f>IF(ISBLANK(C18),"",C18)</f>
        <v/>
      </c>
      <c r="Y16" s="48" t="str">
        <f>IF(ISNUMBER(C19),C19,"")</f>
        <v/>
      </c>
      <c r="Z16" s="50" t="str">
        <f>IF(ISNUMBER(X16/(U16*V16)*Y16),X16/(U16*V16)*Y16,"")</f>
        <v/>
      </c>
      <c r="AA16" s="51">
        <f>IF(ISNUMBER(L16),L16,K16)</f>
        <v>5.7709999999999997E-2</v>
      </c>
      <c r="AB16" s="50" t="str">
        <f>IF(ISNUMBER(Y16*X16*K16),Y16*X16*K16,"")</f>
        <v/>
      </c>
      <c r="AC16" s="50" t="str">
        <f>IF(C31="Kyllä",Y16,"")</f>
        <v/>
      </c>
      <c r="AD16" s="50" t="str">
        <f>IF(C31="Kyllä",IF(ISNUMBER(X16/(U16*V16)),CEILING(X16/(U16*V16),1),""),"")</f>
        <v/>
      </c>
      <c r="AE16" s="50" t="str">
        <f>IF(ISNUMBER(AD16*AC16),AD16*AC16,"")</f>
        <v/>
      </c>
      <c r="AF16" s="51">
        <f ca="1">IF(ISNUMBER(L18),L18,K18)</f>
        <v>0.81247999999999998</v>
      </c>
      <c r="AG16" s="50" t="str">
        <f ca="1">IF(ISNUMBER(AC16*AD16*K18),AC16*AD16*K18,"")</f>
        <v/>
      </c>
      <c r="AH16" s="48">
        <f>IF(T16="Jakelukuorma-auto",0,IF(T16="Maansiirtoauto",4,IF(T16="Puoliperävaunu",6,8)))</f>
        <v>6</v>
      </c>
      <c r="AI16" s="48">
        <f>IF(AND(T16="Jakelukuorma-auto",U16=6),0,IF(AND(T16="Jakelukuorma-auto",U16=15),2,0))</f>
        <v>0</v>
      </c>
      <c r="AJ16" s="48">
        <f>IF(W16="maantieajo",0,1)</f>
        <v>0</v>
      </c>
      <c r="AK16" s="108"/>
      <c r="AL16" s="36"/>
      <c r="AM16" s="36"/>
      <c r="AN16" s="37"/>
      <c r="AO16" s="37"/>
      <c r="AP16" s="37"/>
      <c r="AQ16" s="37"/>
      <c r="AR16" s="37"/>
      <c r="AS16" s="37"/>
      <c r="AT16" s="37"/>
      <c r="AU16" s="37"/>
      <c r="AV16" s="37"/>
      <c r="AW16" s="37"/>
      <c r="AX16" s="37"/>
      <c r="AY16" s="37"/>
      <c r="AZ16" s="37"/>
      <c r="BA16" s="37"/>
      <c r="BB16" s="37"/>
      <c r="BC16" s="37"/>
      <c r="BD16" s="37"/>
      <c r="BE16" s="37"/>
    </row>
    <row r="17" spans="2:57" s="31" customFormat="1" ht="15.5" x14ac:dyDescent="0.3">
      <c r="B17" s="186" t="s">
        <v>506</v>
      </c>
      <c r="C17" s="160" t="s">
        <v>242</v>
      </c>
      <c r="D17" s="34"/>
      <c r="E17" s="34"/>
      <c r="F17" s="34"/>
      <c r="G17" s="34"/>
      <c r="H17" s="59"/>
      <c r="J17" s="173"/>
      <c r="K17" s="173"/>
      <c r="L17" s="173"/>
      <c r="M17" s="41"/>
      <c r="N17" s="41"/>
      <c r="O17" s="256"/>
      <c r="Q17" s="47"/>
      <c r="R17" s="36"/>
      <c r="S17" s="36"/>
      <c r="T17" s="36"/>
      <c r="U17" s="36"/>
      <c r="V17" s="181"/>
      <c r="W17" s="181"/>
      <c r="X17" s="61"/>
      <c r="Y17" s="36"/>
      <c r="Z17" s="61"/>
      <c r="AA17" s="182"/>
      <c r="AB17" s="61"/>
      <c r="AC17" s="61"/>
      <c r="AD17" s="61"/>
      <c r="AE17" s="61"/>
      <c r="AF17" s="182"/>
      <c r="AG17" s="61"/>
      <c r="AH17" s="36"/>
      <c r="AI17" s="36"/>
      <c r="AJ17" s="36"/>
      <c r="AK17" s="108"/>
      <c r="AL17" s="36"/>
      <c r="AM17" s="36"/>
      <c r="AN17" s="37"/>
      <c r="AO17" s="37"/>
      <c r="AP17" s="37"/>
      <c r="AQ17" s="37"/>
      <c r="AR17" s="37"/>
      <c r="AS17" s="37"/>
      <c r="AT17" s="37"/>
      <c r="AU17" s="37"/>
      <c r="AV17" s="37"/>
      <c r="AW17" s="37"/>
      <c r="AX17" s="37"/>
      <c r="AY17" s="37"/>
      <c r="AZ17" s="37"/>
      <c r="BA17" s="37"/>
      <c r="BB17" s="37"/>
      <c r="BC17" s="37"/>
      <c r="BD17" s="37"/>
      <c r="BE17" s="37"/>
    </row>
    <row r="18" spans="2:57" s="31" customFormat="1" ht="15.5" x14ac:dyDescent="0.3">
      <c r="B18" s="45" t="s">
        <v>573</v>
      </c>
      <c r="C18" s="157"/>
      <c r="D18" s="84" t="s">
        <v>52</v>
      </c>
      <c r="G18" s="34"/>
      <c r="H18" s="84"/>
      <c r="J18" s="33" t="s">
        <v>442</v>
      </c>
      <c r="K18" s="96">
        <f ca="1">IF(ISNUMBER(L18),L18,IF($C$132="Ei","",IF(AND($C$132="Kyllä",OR(C16=Pudotusvalikot!$D$14,C16=Pudotusvalikot!$D$15)),Kalusto!$G$97,OFFSET(Kalusto!$G$85,AH16+AJ16+AI16,0,1,1)))*IF(OR(C17=Pudotusvalikot!$V$3,C17=Pudotusvalikot!$V$4),Muut!$E$38,IF(C17=Pudotusvalikot!$V$5,Muut!$E$39,IF(C17=Pudotusvalikot!$V$6,Muut!$E$40,Muut!$E$41))))</f>
        <v>0.81247999999999998</v>
      </c>
      <c r="L18" s="40"/>
      <c r="M18" s="41" t="s">
        <v>204</v>
      </c>
      <c r="N18" s="41"/>
      <c r="O18" s="256"/>
      <c r="P18" s="34"/>
      <c r="Q18" s="52"/>
      <c r="R18" s="50" t="str">
        <f ca="1">IF(ISNUMBER(R16),R16,"")</f>
        <v/>
      </c>
      <c r="S18" s="102" t="s">
        <v>485</v>
      </c>
      <c r="T18" s="36"/>
      <c r="U18" s="36"/>
      <c r="V18" s="36"/>
      <c r="W18" s="36"/>
      <c r="X18" s="36"/>
      <c r="Y18" s="36"/>
      <c r="Z18" s="36"/>
      <c r="AA18" s="36"/>
      <c r="AB18" s="36"/>
      <c r="AC18" s="36"/>
      <c r="AD18" s="36"/>
      <c r="AE18" s="36"/>
      <c r="AF18" s="36"/>
      <c r="AG18" s="36"/>
      <c r="AH18" s="36"/>
      <c r="AI18" s="36"/>
      <c r="AJ18" s="36"/>
      <c r="AK18" s="108"/>
      <c r="AL18" s="36"/>
      <c r="AM18" s="36"/>
      <c r="AN18" s="37"/>
      <c r="AO18" s="37"/>
      <c r="AP18" s="37"/>
      <c r="AQ18" s="37"/>
      <c r="AR18" s="37"/>
      <c r="AS18" s="37"/>
      <c r="AT18" s="37"/>
      <c r="AU18" s="37"/>
      <c r="AV18" s="37"/>
      <c r="AW18" s="37"/>
      <c r="AX18" s="37"/>
      <c r="AY18" s="37"/>
      <c r="AZ18" s="37"/>
      <c r="BA18" s="37"/>
      <c r="BB18" s="37"/>
      <c r="BC18" s="37"/>
      <c r="BD18" s="37"/>
      <c r="BE18" s="37"/>
    </row>
    <row r="19" spans="2:57" s="31" customFormat="1" ht="15.5" x14ac:dyDescent="0.3">
      <c r="B19" s="45" t="s">
        <v>574</v>
      </c>
      <c r="C19" s="158"/>
      <c r="D19" s="84" t="s">
        <v>5</v>
      </c>
      <c r="G19" s="34"/>
      <c r="H19" s="84"/>
      <c r="I19" s="53"/>
      <c r="J19" s="53"/>
      <c r="K19" s="34"/>
      <c r="L19" s="34"/>
      <c r="M19" s="84"/>
      <c r="N19" s="84"/>
      <c r="O19" s="256"/>
      <c r="P19" s="53"/>
      <c r="Q19" s="52"/>
      <c r="R19" s="36" t="s">
        <v>350</v>
      </c>
      <c r="S19" s="36"/>
      <c r="T19" s="36"/>
      <c r="U19" s="36"/>
      <c r="V19" s="36"/>
      <c r="W19" s="36"/>
      <c r="X19" s="36"/>
      <c r="Y19" s="36"/>
      <c r="Z19" s="36"/>
      <c r="AA19" s="36"/>
      <c r="AB19" s="36"/>
      <c r="AC19" s="36"/>
      <c r="AD19" s="36"/>
      <c r="AE19" s="36"/>
      <c r="AF19" s="36"/>
      <c r="AG19" s="36"/>
      <c r="AH19" s="36"/>
      <c r="AI19" s="36"/>
      <c r="AJ19" s="36"/>
      <c r="AK19" s="108"/>
      <c r="AL19" s="36"/>
      <c r="AM19" s="36"/>
      <c r="AN19" s="37"/>
      <c r="AO19" s="37"/>
      <c r="AP19" s="37"/>
      <c r="AQ19" s="37"/>
      <c r="AR19" s="37"/>
      <c r="AS19" s="37"/>
      <c r="AT19" s="37"/>
      <c r="AU19" s="37"/>
      <c r="AV19" s="37"/>
      <c r="AW19" s="37"/>
      <c r="AX19" s="37"/>
      <c r="AY19" s="37"/>
      <c r="AZ19" s="37"/>
      <c r="BA19" s="37"/>
      <c r="BB19" s="37"/>
      <c r="BC19" s="37"/>
      <c r="BD19" s="37"/>
      <c r="BE19" s="37"/>
    </row>
    <row r="20" spans="2:57" s="31" customFormat="1" ht="15.5" x14ac:dyDescent="0.3">
      <c r="B20" s="172" t="s">
        <v>440</v>
      </c>
      <c r="C20" s="34"/>
      <c r="D20" s="84"/>
      <c r="G20" s="34"/>
      <c r="H20" s="84"/>
      <c r="J20" s="33"/>
      <c r="K20" s="38" t="s">
        <v>329</v>
      </c>
      <c r="L20" s="38" t="s">
        <v>201</v>
      </c>
      <c r="M20" s="84"/>
      <c r="N20" s="84"/>
      <c r="O20" s="256"/>
      <c r="P20" s="34"/>
      <c r="Q20" s="35"/>
      <c r="R20" s="36" t="s">
        <v>172</v>
      </c>
      <c r="S20" s="36"/>
      <c r="T20" s="36" t="s">
        <v>446</v>
      </c>
      <c r="U20" s="36" t="s">
        <v>445</v>
      </c>
      <c r="V20" s="36" t="s">
        <v>443</v>
      </c>
      <c r="W20" s="36" t="s">
        <v>444</v>
      </c>
      <c r="X20" s="36" t="s">
        <v>447</v>
      </c>
      <c r="Y20" s="36" t="s">
        <v>449</v>
      </c>
      <c r="Z20" s="36" t="s">
        <v>448</v>
      </c>
      <c r="AA20" s="36" t="s">
        <v>202</v>
      </c>
      <c r="AB20" s="36" t="s">
        <v>380</v>
      </c>
      <c r="AC20" s="36" t="s">
        <v>450</v>
      </c>
      <c r="AD20" s="36" t="s">
        <v>381</v>
      </c>
      <c r="AE20" s="36" t="s">
        <v>451</v>
      </c>
      <c r="AF20" s="36" t="s">
        <v>452</v>
      </c>
      <c r="AG20" s="36" t="s">
        <v>638</v>
      </c>
      <c r="AH20" s="36" t="s">
        <v>206</v>
      </c>
      <c r="AI20" s="36" t="s">
        <v>278</v>
      </c>
      <c r="AJ20" s="36" t="s">
        <v>207</v>
      </c>
      <c r="AK20" s="108"/>
      <c r="AL20" s="36"/>
      <c r="AM20" s="36"/>
      <c r="AN20" s="37"/>
      <c r="AO20" s="37"/>
      <c r="AP20" s="37"/>
      <c r="AQ20" s="37"/>
      <c r="AR20" s="37"/>
      <c r="AS20" s="37"/>
      <c r="AT20" s="37"/>
      <c r="AU20" s="37"/>
      <c r="AV20" s="37"/>
      <c r="AW20" s="37"/>
      <c r="AX20" s="37"/>
      <c r="AY20" s="37"/>
      <c r="AZ20" s="37"/>
      <c r="BA20" s="37"/>
      <c r="BB20" s="37"/>
      <c r="BC20" s="37"/>
      <c r="BD20" s="37"/>
      <c r="BE20" s="37"/>
    </row>
    <row r="21" spans="2:57" s="31" customFormat="1" ht="46.5" x14ac:dyDescent="0.3">
      <c r="B21" s="170" t="s">
        <v>504</v>
      </c>
      <c r="C21" s="392" t="s">
        <v>93</v>
      </c>
      <c r="D21" s="393"/>
      <c r="E21" s="393"/>
      <c r="F21" s="393"/>
      <c r="G21" s="394"/>
      <c r="H21" s="169"/>
      <c r="J21" s="173" t="s">
        <v>441</v>
      </c>
      <c r="K21" s="96">
        <f>IF(ISNUMBER(L21),L21,IF(OR(C21=Pudotusvalikot!$D$14,C21=Pudotusvalikot!$D$15),Kalusto!$G$96,VLOOKUP(C21,Kalusto!$C$44:$G$83,5,FALSE))*IF(OR(C22=Pudotusvalikot!$V$3,C22=Pudotusvalikot!$V$4),Muut!$E$38,IF(C22=Pudotusvalikot!$V$5,Muut!$E$39,IF(C22=Pudotusvalikot!$V$6,Muut!$E$40,Muut!$E$41))))</f>
        <v>5.7709999999999997E-2</v>
      </c>
      <c r="L21" s="40"/>
      <c r="M21" s="41" t="s">
        <v>200</v>
      </c>
      <c r="N21" s="41"/>
      <c r="O21" s="256"/>
      <c r="Q21" s="47"/>
      <c r="R21" s="50" t="str">
        <f ca="1">IF(AND(NOT(ISNUMBER(AB21)),NOT(ISNUMBER(AG21))),"",IF(ISNUMBER(AB21),AB21,0)+IF(ISNUMBER(AG21),AG21,0))</f>
        <v/>
      </c>
      <c r="S21" s="102" t="s">
        <v>484</v>
      </c>
      <c r="T21" s="48" t="str">
        <f>IF(ISNUMBER(L21),"Kohdetieto",IF(OR(C21=Pudotusvalikot!$D$14,C21=Pudotusvalikot!$D$15),Kalusto!$I$96,VLOOKUP(C21,Kalusto!$C$44:$L$83,7,FALSE)))</f>
        <v>Puoliperävaunu</v>
      </c>
      <c r="U21" s="48">
        <f>IF(ISNUMBER(L21),"Kohdetieto",IF(OR(C21=Pudotusvalikot!$D$14,C21=Pudotusvalikot!$D$15),Kalusto!$J$96,VLOOKUP(C21,Kalusto!$C$44:$L$83,8,FALSE)))</f>
        <v>40</v>
      </c>
      <c r="V21" s="49">
        <f>IF(ISNUMBER(L21),"Kohdetieto",IF(OR(C21=Pudotusvalikot!$D$14,C21=Pudotusvalikot!$D$15),Kalusto!$K$96,VLOOKUP(C21,Kalusto!$C$44:$L$83,9,FALSE)))</f>
        <v>0.8</v>
      </c>
      <c r="W21" s="49" t="str">
        <f>IF(ISNUMBER(L21),"Kohdetieto",IF(OR(C21=Pudotusvalikot!$D$14,C21=Pudotusvalikot!$D$15),Kalusto!$L$96,VLOOKUP(C21,Kalusto!$C$44:$L$83,10,FALSE)))</f>
        <v>maantieajo</v>
      </c>
      <c r="X21" s="50" t="str">
        <f>IF(ISBLANK(C23),"",C23)</f>
        <v/>
      </c>
      <c r="Y21" s="48" t="str">
        <f>IF(ISNUMBER(C24),C24,"")</f>
        <v/>
      </c>
      <c r="Z21" s="50" t="str">
        <f>IF(ISNUMBER(X21/(U21*V21)*Y21),X21/(U21*V21)*Y21,"")</f>
        <v/>
      </c>
      <c r="AA21" s="51">
        <f>IF(ISNUMBER(L21),L21,K21)</f>
        <v>5.7709999999999997E-2</v>
      </c>
      <c r="AB21" s="50" t="str">
        <f>IF(ISNUMBER(Y21*X21*K21),Y21*X21*K21,"")</f>
        <v/>
      </c>
      <c r="AC21" s="50" t="str">
        <f>IF(C38="Kyllä",Y21,"")</f>
        <v/>
      </c>
      <c r="AD21" s="50" t="str">
        <f>IF(C38="Kyllä",IF(ISNUMBER(X21/(U21*V21)),CEILING(X21/(U21*V21),1),""),"")</f>
        <v/>
      </c>
      <c r="AE21" s="50" t="str">
        <f>IF(ISNUMBER(AD21*AC21),AD21*AC21,"")</f>
        <v/>
      </c>
      <c r="AF21" s="51">
        <f ca="1">IF(ISNUMBER(L23),L23,K23)</f>
        <v>0.81247999999999998</v>
      </c>
      <c r="AG21" s="50" t="str">
        <f ca="1">IF(ISNUMBER(AC21*AD21*K23),AC21*AD21*K23,"")</f>
        <v/>
      </c>
      <c r="AH21" s="48">
        <f>IF(T21="Jakelukuorma-auto",0,IF(T21="Maansiirtoauto",4,IF(T21="Puoliperävaunu",6,8)))</f>
        <v>6</v>
      </c>
      <c r="AI21" s="48">
        <f>IF(AND(T21="Jakelukuorma-auto",U21=6),0,IF(AND(T21="Jakelukuorma-auto",U21=15),2,0))</f>
        <v>0</v>
      </c>
      <c r="AJ21" s="48">
        <f>IF(W21="maantieajo",0,1)</f>
        <v>0</v>
      </c>
      <c r="AK21" s="108"/>
      <c r="AL21" s="36"/>
      <c r="AM21" s="36"/>
      <c r="AN21" s="37"/>
      <c r="AO21" s="37"/>
      <c r="AP21" s="37"/>
      <c r="AQ21" s="37"/>
      <c r="AR21" s="37"/>
      <c r="AS21" s="37"/>
      <c r="AT21" s="37"/>
      <c r="AU21" s="37"/>
      <c r="AV21" s="37"/>
      <c r="AW21" s="37"/>
      <c r="AX21" s="37"/>
      <c r="AY21" s="37"/>
      <c r="AZ21" s="37"/>
      <c r="BA21" s="37"/>
      <c r="BB21" s="37"/>
      <c r="BC21" s="37"/>
      <c r="BD21" s="37"/>
      <c r="BE21" s="37"/>
    </row>
    <row r="22" spans="2:57" s="31" customFormat="1" ht="15.5" x14ac:dyDescent="0.3">
      <c r="B22" s="186" t="s">
        <v>506</v>
      </c>
      <c r="C22" s="160" t="s">
        <v>242</v>
      </c>
      <c r="D22" s="34"/>
      <c r="E22" s="34"/>
      <c r="F22" s="34"/>
      <c r="G22" s="34"/>
      <c r="H22" s="59"/>
      <c r="J22" s="173"/>
      <c r="K22" s="173"/>
      <c r="L22" s="173"/>
      <c r="M22" s="41"/>
      <c r="N22" s="41"/>
      <c r="O22" s="256"/>
      <c r="Q22" s="47"/>
      <c r="R22" s="36"/>
      <c r="S22" s="36"/>
      <c r="T22" s="36"/>
      <c r="U22" s="36"/>
      <c r="V22" s="181"/>
      <c r="W22" s="181"/>
      <c r="X22" s="61"/>
      <c r="Y22" s="36"/>
      <c r="Z22" s="61"/>
      <c r="AA22" s="182"/>
      <c r="AB22" s="61"/>
      <c r="AC22" s="61"/>
      <c r="AD22" s="61"/>
      <c r="AE22" s="61"/>
      <c r="AF22" s="182"/>
      <c r="AG22" s="61"/>
      <c r="AH22" s="36"/>
      <c r="AI22" s="36"/>
      <c r="AJ22" s="36"/>
      <c r="AK22" s="108"/>
      <c r="AL22" s="36"/>
      <c r="AM22" s="36"/>
      <c r="AN22" s="37"/>
      <c r="AO22" s="37"/>
      <c r="AP22" s="37"/>
      <c r="AQ22" s="37"/>
      <c r="AR22" s="37"/>
      <c r="AS22" s="37"/>
      <c r="AT22" s="37"/>
      <c r="AU22" s="37"/>
      <c r="AV22" s="37"/>
      <c r="AW22" s="37"/>
      <c r="AX22" s="37"/>
      <c r="AY22" s="37"/>
      <c r="AZ22" s="37"/>
      <c r="BA22" s="37"/>
      <c r="BB22" s="37"/>
      <c r="BC22" s="37"/>
      <c r="BD22" s="37"/>
      <c r="BE22" s="37"/>
    </row>
    <row r="23" spans="2:57" s="31" customFormat="1" ht="15.5" x14ac:dyDescent="0.3">
      <c r="B23" s="45" t="s">
        <v>505</v>
      </c>
      <c r="C23" s="156"/>
      <c r="D23" s="84" t="s">
        <v>52</v>
      </c>
      <c r="G23" s="34"/>
      <c r="H23" s="84"/>
      <c r="J23" s="33" t="s">
        <v>442</v>
      </c>
      <c r="K23" s="96">
        <f ca="1">IF(ISNUMBER(L23),L23,IF($C$132="Ei","",IF(AND($C$132="Kyllä",OR(C21=Pudotusvalikot!$D$14,C21=Pudotusvalikot!$D$15)),Kalusto!$G$97,OFFSET(Kalusto!$G$85,AH21+AJ21+AI21,0,1,1)))*IF(OR(C22=Pudotusvalikot!$V$3,C22=Pudotusvalikot!$V$4),Muut!$E$38,IF(C22=Pudotusvalikot!$V$5,Muut!$E$39,IF(C22=Pudotusvalikot!$V$6,Muut!$E$40,Muut!$E$41))))</f>
        <v>0.81247999999999998</v>
      </c>
      <c r="L23" s="40"/>
      <c r="M23" s="41" t="s">
        <v>204</v>
      </c>
      <c r="N23" s="41"/>
      <c r="O23" s="256"/>
      <c r="P23" s="34"/>
      <c r="Q23" s="52"/>
      <c r="R23" s="50" t="str">
        <f ca="1">IF(ISNUMBER(R21),R21,"")</f>
        <v/>
      </c>
      <c r="S23" s="102" t="s">
        <v>485</v>
      </c>
      <c r="T23" s="36"/>
      <c r="U23" s="36"/>
      <c r="V23" s="36"/>
      <c r="W23" s="36"/>
      <c r="X23" s="36"/>
      <c r="Y23" s="36"/>
      <c r="Z23" s="36"/>
      <c r="AA23" s="36"/>
      <c r="AB23" s="36"/>
      <c r="AC23" s="36"/>
      <c r="AD23" s="36"/>
      <c r="AE23" s="36"/>
      <c r="AF23" s="36"/>
      <c r="AG23" s="36"/>
      <c r="AH23" s="36"/>
      <c r="AI23" s="36"/>
      <c r="AJ23" s="36"/>
      <c r="AK23" s="36"/>
      <c r="AL23" s="36"/>
      <c r="AM23" s="36"/>
      <c r="AN23" s="37"/>
      <c r="AO23" s="37"/>
      <c r="AP23" s="37"/>
      <c r="AQ23" s="37"/>
      <c r="AR23" s="37"/>
      <c r="AS23" s="37"/>
      <c r="AT23" s="37"/>
      <c r="AU23" s="37"/>
      <c r="AV23" s="37"/>
      <c r="AW23" s="37"/>
      <c r="AX23" s="37"/>
      <c r="AY23" s="37"/>
      <c r="AZ23" s="37"/>
      <c r="BA23" s="37"/>
      <c r="BB23" s="37"/>
      <c r="BC23" s="37"/>
      <c r="BD23" s="37"/>
      <c r="BE23" s="37"/>
    </row>
    <row r="24" spans="2:57" s="31" customFormat="1" ht="15.5" x14ac:dyDescent="0.3">
      <c r="B24" s="45" t="s">
        <v>507</v>
      </c>
      <c r="C24" s="156"/>
      <c r="D24" s="84" t="s">
        <v>5</v>
      </c>
      <c r="G24" s="34"/>
      <c r="H24" s="84"/>
      <c r="I24" s="53"/>
      <c r="J24" s="53"/>
      <c r="K24" s="34"/>
      <c r="L24" s="34"/>
      <c r="M24" s="84"/>
      <c r="N24" s="84"/>
      <c r="O24" s="256"/>
      <c r="P24" s="53"/>
      <c r="Q24" s="52"/>
      <c r="R24" s="36"/>
      <c r="S24" s="36"/>
      <c r="T24" s="36"/>
      <c r="U24" s="36"/>
      <c r="V24" s="36"/>
      <c r="W24" s="36"/>
      <c r="X24" s="36"/>
      <c r="Y24" s="36"/>
      <c r="Z24" s="36"/>
      <c r="AA24" s="36"/>
      <c r="AB24" s="36"/>
      <c r="AC24" s="36"/>
      <c r="AD24" s="36"/>
      <c r="AE24" s="36"/>
      <c r="AF24" s="36"/>
      <c r="AG24" s="36"/>
      <c r="AH24" s="36"/>
      <c r="AI24" s="36"/>
      <c r="AJ24" s="36"/>
      <c r="AK24" s="36"/>
      <c r="AL24" s="36"/>
      <c r="AM24" s="36"/>
      <c r="AN24" s="37"/>
      <c r="AO24" s="37"/>
      <c r="AP24" s="37"/>
      <c r="AQ24" s="37"/>
      <c r="AR24" s="37"/>
      <c r="AS24" s="37"/>
      <c r="AT24" s="37"/>
      <c r="AU24" s="37"/>
      <c r="AV24" s="37"/>
      <c r="AW24" s="37"/>
      <c r="AX24" s="37"/>
      <c r="AY24" s="37"/>
      <c r="AZ24" s="37"/>
      <c r="BA24" s="37"/>
      <c r="BB24" s="37"/>
      <c r="BC24" s="37"/>
      <c r="BD24" s="37"/>
      <c r="BE24" s="37"/>
    </row>
    <row r="25" spans="2:57" s="31" customFormat="1" ht="15.5" x14ac:dyDescent="0.3">
      <c r="C25" s="34"/>
      <c r="D25" s="84"/>
      <c r="G25" s="34"/>
      <c r="H25" s="84"/>
      <c r="J25" s="33"/>
      <c r="K25" s="34"/>
      <c r="L25" s="34"/>
      <c r="M25" s="84"/>
      <c r="N25" s="84"/>
      <c r="O25" s="256"/>
      <c r="Q25" s="35"/>
      <c r="R25" s="36"/>
      <c r="S25" s="36"/>
      <c r="T25" s="36"/>
      <c r="U25" s="36"/>
      <c r="V25" s="36"/>
      <c r="W25" s="36"/>
      <c r="X25" s="36"/>
      <c r="Y25" s="36"/>
      <c r="Z25" s="36"/>
      <c r="AA25" s="36"/>
      <c r="AB25" s="36"/>
      <c r="AC25" s="36"/>
      <c r="AD25" s="36"/>
      <c r="AE25" s="36"/>
      <c r="AF25" s="36"/>
      <c r="AG25" s="36"/>
      <c r="AH25" s="36"/>
      <c r="AI25" s="36"/>
      <c r="AJ25" s="36"/>
      <c r="AK25" s="36"/>
      <c r="AL25" s="36"/>
      <c r="AM25" s="36"/>
      <c r="AN25" s="37"/>
      <c r="AO25" s="37"/>
      <c r="AP25" s="37"/>
      <c r="AQ25" s="37"/>
      <c r="AR25" s="37"/>
      <c r="AS25" s="37"/>
      <c r="AT25" s="37"/>
      <c r="AU25" s="37"/>
      <c r="AV25" s="37"/>
      <c r="AW25" s="37"/>
      <c r="AX25" s="37"/>
      <c r="AY25" s="37"/>
      <c r="AZ25" s="37"/>
      <c r="BA25" s="37"/>
      <c r="BB25" s="37"/>
      <c r="BC25" s="37"/>
      <c r="BD25" s="37"/>
      <c r="BE25" s="37"/>
    </row>
    <row r="26" spans="2:57" s="31" customFormat="1" ht="62" x14ac:dyDescent="0.3">
      <c r="B26" s="78" t="s">
        <v>668</v>
      </c>
      <c r="C26" s="392" t="s">
        <v>6</v>
      </c>
      <c r="D26" s="394"/>
      <c r="G26" s="82" t="str">
        <f>C26</f>
        <v>Kyllä</v>
      </c>
      <c r="H26" s="84"/>
      <c r="J26" s="33"/>
      <c r="K26" s="34"/>
      <c r="L26" s="34"/>
      <c r="M26" s="84"/>
      <c r="N26" s="84"/>
      <c r="O26" s="256"/>
      <c r="Q26" s="35"/>
      <c r="R26" s="99"/>
      <c r="S26" s="36"/>
      <c r="T26" s="36"/>
      <c r="U26" s="36"/>
      <c r="V26" s="36"/>
      <c r="W26" s="36"/>
      <c r="X26" s="36"/>
      <c r="Y26" s="36"/>
      <c r="Z26" s="36"/>
      <c r="AA26" s="36"/>
      <c r="AB26" s="36"/>
      <c r="AC26" s="36"/>
      <c r="AD26" s="36"/>
      <c r="AE26" s="36"/>
      <c r="AF26" s="36"/>
      <c r="AG26" s="36"/>
      <c r="AH26" s="36"/>
      <c r="AI26" s="36"/>
      <c r="AJ26" s="36"/>
      <c r="AK26" s="36"/>
      <c r="AL26" s="36"/>
      <c r="AM26" s="36"/>
      <c r="AN26" s="37"/>
      <c r="AO26" s="37"/>
      <c r="AP26" s="37"/>
      <c r="AQ26" s="37"/>
      <c r="AR26" s="37"/>
      <c r="AS26" s="37"/>
      <c r="AT26" s="37"/>
      <c r="AU26" s="37"/>
      <c r="AV26" s="37"/>
      <c r="AW26" s="37"/>
      <c r="AX26" s="37"/>
      <c r="AY26" s="37"/>
      <c r="AZ26" s="37"/>
      <c r="BA26" s="37"/>
      <c r="BB26" s="37"/>
      <c r="BC26" s="37"/>
      <c r="BD26" s="37"/>
      <c r="BE26" s="37"/>
    </row>
    <row r="27" spans="2:57" s="31" customFormat="1" ht="15.5" x14ac:dyDescent="0.3">
      <c r="C27" s="34"/>
      <c r="D27" s="84"/>
      <c r="G27" s="34"/>
      <c r="H27" s="84"/>
      <c r="K27" s="34"/>
      <c r="L27" s="34"/>
      <c r="M27" s="84"/>
      <c r="N27" s="84"/>
      <c r="O27" s="84"/>
      <c r="Q27" s="35"/>
      <c r="R27" s="99"/>
      <c r="S27" s="36"/>
      <c r="T27" s="36"/>
      <c r="U27" s="36"/>
      <c r="V27" s="36"/>
      <c r="W27" s="36"/>
      <c r="X27" s="36"/>
      <c r="Y27" s="36"/>
      <c r="Z27" s="36"/>
      <c r="AA27" s="36"/>
      <c r="AB27" s="36"/>
      <c r="AC27" s="36"/>
      <c r="AD27" s="36"/>
      <c r="AE27" s="36"/>
      <c r="AF27" s="36"/>
      <c r="AG27" s="36"/>
      <c r="AH27" s="36"/>
      <c r="AI27" s="36"/>
      <c r="AJ27" s="36"/>
      <c r="AK27" s="36"/>
      <c r="AL27" s="36"/>
      <c r="AM27" s="36"/>
      <c r="AN27" s="37"/>
      <c r="AO27" s="37"/>
      <c r="AP27" s="37"/>
      <c r="AQ27" s="37"/>
      <c r="AR27" s="37"/>
      <c r="AS27" s="37"/>
      <c r="AT27" s="37"/>
      <c r="AU27" s="37"/>
      <c r="AV27" s="37"/>
      <c r="AW27" s="37"/>
      <c r="AX27" s="37"/>
      <c r="AY27" s="37"/>
      <c r="AZ27" s="37"/>
      <c r="BA27" s="37"/>
      <c r="BB27" s="37"/>
      <c r="BC27" s="37"/>
      <c r="BD27" s="37"/>
      <c r="BE27" s="37"/>
    </row>
    <row r="28" spans="2:57" s="298" customFormat="1" ht="18" x14ac:dyDescent="0.3">
      <c r="B28" s="295" t="s">
        <v>508</v>
      </c>
      <c r="C28" s="296"/>
      <c r="D28" s="297"/>
      <c r="G28" s="296"/>
      <c r="H28" s="297"/>
      <c r="K28" s="296"/>
      <c r="L28" s="296"/>
      <c r="M28" s="297"/>
      <c r="N28" s="297"/>
      <c r="O28" s="300"/>
      <c r="P28" s="320"/>
      <c r="Q28" s="304"/>
      <c r="S28" s="303"/>
      <c r="T28" s="303"/>
      <c r="U28" s="303"/>
      <c r="V28" s="303"/>
      <c r="W28" s="303"/>
      <c r="X28" s="303"/>
      <c r="Y28" s="303"/>
      <c r="Z28" s="303"/>
      <c r="AA28" s="303"/>
      <c r="AB28" s="303"/>
      <c r="AC28" s="303"/>
      <c r="AD28" s="303"/>
      <c r="AE28" s="303"/>
      <c r="AF28" s="303"/>
      <c r="AG28" s="303"/>
      <c r="AH28" s="303"/>
      <c r="AI28" s="303"/>
      <c r="AJ28" s="303"/>
      <c r="AK28" s="303"/>
      <c r="AL28" s="303"/>
      <c r="AM28" s="303"/>
      <c r="AN28" s="304"/>
      <c r="AO28" s="304"/>
      <c r="AP28" s="304"/>
      <c r="AQ28" s="304"/>
      <c r="AR28" s="304"/>
      <c r="AS28" s="304"/>
      <c r="AT28" s="304"/>
      <c r="AU28" s="304"/>
      <c r="AV28" s="304"/>
      <c r="AW28" s="304"/>
      <c r="AX28" s="304"/>
      <c r="AY28" s="304"/>
      <c r="AZ28" s="304"/>
      <c r="BA28" s="304"/>
      <c r="BB28" s="304"/>
      <c r="BC28" s="304"/>
      <c r="BD28" s="304"/>
      <c r="BE28" s="304"/>
    </row>
    <row r="29" spans="2:57" s="31" customFormat="1" ht="16" thickBot="1" x14ac:dyDescent="0.35">
      <c r="B29" s="9"/>
      <c r="C29" s="34"/>
      <c r="D29" s="84"/>
      <c r="G29" s="34"/>
      <c r="H29" s="84"/>
      <c r="J29" s="33"/>
      <c r="K29" s="38" t="s">
        <v>329</v>
      </c>
      <c r="L29" s="38" t="s">
        <v>201</v>
      </c>
      <c r="M29" s="86"/>
      <c r="N29" s="86"/>
      <c r="O29" s="255" t="s">
        <v>644</v>
      </c>
      <c r="P29" s="38"/>
      <c r="Q29" s="35"/>
      <c r="R29" s="61" t="s">
        <v>350</v>
      </c>
      <c r="S29" s="36"/>
      <c r="T29" s="36"/>
      <c r="U29" s="36"/>
      <c r="V29" s="36"/>
      <c r="W29" s="36"/>
      <c r="X29" s="36"/>
      <c r="Y29" s="36"/>
      <c r="Z29" s="36"/>
      <c r="AA29" s="36"/>
      <c r="AB29" s="36"/>
      <c r="AC29" s="36"/>
      <c r="AD29" s="36"/>
      <c r="AE29" s="36"/>
      <c r="AF29" s="36"/>
      <c r="AG29" s="36"/>
      <c r="AH29" s="36"/>
      <c r="AI29" s="36"/>
      <c r="AJ29" s="36"/>
      <c r="AK29" s="36"/>
      <c r="AL29" s="36"/>
      <c r="AM29" s="36"/>
      <c r="AN29" s="37"/>
      <c r="AO29" s="37"/>
      <c r="AP29" s="37"/>
      <c r="AQ29" s="37"/>
      <c r="AR29" s="37"/>
      <c r="AS29" s="37"/>
      <c r="AT29" s="37"/>
      <c r="AU29" s="37"/>
      <c r="AV29" s="37"/>
      <c r="AW29" s="37"/>
      <c r="AX29" s="37"/>
      <c r="AY29" s="37"/>
      <c r="AZ29" s="37"/>
      <c r="BA29" s="37"/>
      <c r="BB29" s="37"/>
      <c r="BC29" s="37"/>
      <c r="BD29" s="37"/>
      <c r="BE29" s="37"/>
    </row>
    <row r="30" spans="2:57" s="31" customFormat="1" ht="16" thickBot="1" x14ac:dyDescent="0.4">
      <c r="B30" s="39" t="s">
        <v>474</v>
      </c>
      <c r="C30" s="156"/>
      <c r="D30" s="88" t="s">
        <v>174</v>
      </c>
      <c r="E30" s="32"/>
      <c r="F30" s="32"/>
      <c r="G30" s="34"/>
      <c r="H30" s="84"/>
      <c r="J30" s="33" t="s">
        <v>456</v>
      </c>
      <c r="K30" s="96">
        <f>Muut!$H$4</f>
        <v>8.4</v>
      </c>
      <c r="L30" s="40"/>
      <c r="M30" s="41" t="s">
        <v>298</v>
      </c>
      <c r="N30" s="41"/>
      <c r="O30" s="256"/>
      <c r="Q30" s="35"/>
      <c r="R30" s="132" t="str">
        <f>IF(ISNUMBER(C30),IF(ISNUMBER(L30),L30*C30,K30*C30),"")</f>
        <v/>
      </c>
      <c r="S30" s="102" t="s">
        <v>349</v>
      </c>
      <c r="T30" s="43"/>
      <c r="U30" s="43"/>
      <c r="V30" s="43"/>
      <c r="W30" s="36"/>
      <c r="X30" s="36"/>
      <c r="Y30" s="36"/>
      <c r="Z30" s="36"/>
      <c r="AA30" s="36"/>
      <c r="AB30" s="36"/>
      <c r="AC30" s="36"/>
      <c r="AD30" s="36"/>
      <c r="AE30" s="36"/>
      <c r="AF30" s="36"/>
      <c r="AG30" s="36"/>
      <c r="AH30" s="36"/>
      <c r="AI30" s="36"/>
      <c r="AJ30" s="36"/>
      <c r="AK30" s="36"/>
      <c r="AL30" s="36"/>
      <c r="AM30" s="36"/>
      <c r="AN30" s="37"/>
      <c r="AO30" s="37"/>
      <c r="AP30" s="37"/>
      <c r="AQ30" s="37"/>
      <c r="AR30" s="37"/>
      <c r="AS30" s="37"/>
      <c r="AT30" s="37"/>
      <c r="AU30" s="37"/>
      <c r="AV30" s="37"/>
      <c r="AW30" s="37"/>
      <c r="AX30" s="37"/>
      <c r="AY30" s="37"/>
      <c r="AZ30" s="37"/>
      <c r="BA30" s="37"/>
      <c r="BB30" s="37"/>
      <c r="BC30" s="37"/>
      <c r="BD30" s="37"/>
      <c r="BE30" s="37"/>
    </row>
    <row r="31" spans="2:57" s="31" customFormat="1" ht="15.5" x14ac:dyDescent="0.35">
      <c r="B31" s="170" t="s">
        <v>509</v>
      </c>
      <c r="C31" s="160" t="s">
        <v>242</v>
      </c>
      <c r="D31" s="88"/>
      <c r="E31" s="32"/>
      <c r="F31" s="32"/>
      <c r="G31" s="34"/>
      <c r="H31" s="84"/>
      <c r="J31" s="33" t="s">
        <v>455</v>
      </c>
      <c r="K31" s="96">
        <f>Muut!$H$5*IF(OR(C31=Pudotusvalikot!$V$3,C31=Pudotusvalikot!$V$4),Muut!$E$38,IF(C31=Pudotusvalikot!$V$5,Muut!$E$39,IF(C31=Pudotusvalikot!$V$6,Muut!$E$40,Muut!$E$41)))</f>
        <v>0.12327540000000001</v>
      </c>
      <c r="L31" s="40"/>
      <c r="M31" s="41" t="s">
        <v>298</v>
      </c>
      <c r="N31" s="41"/>
      <c r="O31" s="265"/>
      <c r="Q31" s="35"/>
      <c r="R31" s="131" t="str">
        <f>IF(ISNUMBER(C30),IF(ISNUMBER(L31),L31*C30,K31*C30),"")</f>
        <v/>
      </c>
      <c r="S31" s="102" t="s">
        <v>172</v>
      </c>
      <c r="T31" s="43"/>
      <c r="U31" s="43"/>
      <c r="V31" s="43"/>
      <c r="W31" s="36"/>
      <c r="X31" s="36"/>
      <c r="Y31" s="36"/>
      <c r="Z31" s="36"/>
      <c r="AA31" s="36"/>
      <c r="AB31" s="36"/>
      <c r="AC31" s="36"/>
      <c r="AD31" s="36"/>
      <c r="AE31" s="36"/>
      <c r="AF31" s="36"/>
      <c r="AG31" s="36"/>
      <c r="AH31" s="36"/>
      <c r="AI31" s="36"/>
      <c r="AJ31" s="36"/>
      <c r="AK31" s="36"/>
      <c r="AL31" s="36"/>
      <c r="AM31" s="36"/>
      <c r="AN31" s="37"/>
      <c r="AO31" s="37"/>
      <c r="AP31" s="37"/>
      <c r="AQ31" s="37"/>
      <c r="AR31" s="37"/>
      <c r="AS31" s="37"/>
      <c r="AT31" s="37"/>
      <c r="AU31" s="37"/>
      <c r="AV31" s="37"/>
      <c r="AW31" s="37"/>
      <c r="AX31" s="37"/>
      <c r="AY31" s="37"/>
      <c r="AZ31" s="37"/>
      <c r="BA31" s="37"/>
      <c r="BB31" s="37"/>
      <c r="BC31" s="37"/>
      <c r="BD31" s="37"/>
      <c r="BE31" s="37"/>
    </row>
    <row r="32" spans="2:57" s="31" customFormat="1" ht="15.5" x14ac:dyDescent="0.35">
      <c r="B32" s="39" t="s">
        <v>475</v>
      </c>
      <c r="C32" s="156"/>
      <c r="D32" s="88" t="s">
        <v>174</v>
      </c>
      <c r="E32" s="32"/>
      <c r="F32" s="32"/>
      <c r="G32" s="34"/>
      <c r="H32" s="84"/>
      <c r="J32" s="33" t="s">
        <v>454</v>
      </c>
      <c r="K32" s="96">
        <f>Muut!$H$6*IF(OR(C33=Pudotusvalikot!$V$3,C33=Pudotusvalikot!$V$4),Muut!$E$38,IF(C33=Pudotusvalikot!$V$5,Muut!$E$39,IF(C33=Pudotusvalikot!$V$6,Muut!$E$40,Muut!$E$41)))</f>
        <v>4.0956000000000006E-2</v>
      </c>
      <c r="L32" s="40"/>
      <c r="M32" s="41" t="s">
        <v>298</v>
      </c>
      <c r="N32" s="41"/>
      <c r="O32" s="265"/>
      <c r="Q32" s="35"/>
      <c r="R32" s="48" t="str">
        <f>IF(ISNUMBER(#REF!),IF(ISNUMBER(L32),L32*#REF!,K32*#REF!),"")</f>
        <v/>
      </c>
      <c r="S32" s="102" t="s">
        <v>172</v>
      </c>
      <c r="T32" s="43"/>
      <c r="U32" s="43"/>
      <c r="V32" s="43"/>
      <c r="W32" s="36"/>
      <c r="X32" s="36"/>
      <c r="Y32" s="36"/>
      <c r="Z32" s="36"/>
      <c r="AA32" s="36"/>
      <c r="AB32" s="36"/>
      <c r="AC32" s="36"/>
      <c r="AD32" s="36"/>
      <c r="AE32" s="36"/>
      <c r="AF32" s="36"/>
      <c r="AG32" s="36"/>
      <c r="AH32" s="36"/>
      <c r="AI32" s="36"/>
      <c r="AJ32" s="36"/>
      <c r="AK32" s="36"/>
      <c r="AL32" s="36"/>
      <c r="AM32" s="36"/>
      <c r="AN32" s="37"/>
      <c r="AO32" s="37"/>
      <c r="AP32" s="37"/>
      <c r="AQ32" s="37"/>
      <c r="AR32" s="37"/>
      <c r="AS32" s="37"/>
      <c r="AT32" s="37"/>
      <c r="AU32" s="37"/>
      <c r="AV32" s="37"/>
      <c r="AW32" s="37"/>
      <c r="AX32" s="37"/>
      <c r="AY32" s="37"/>
      <c r="AZ32" s="37"/>
      <c r="BA32" s="37"/>
      <c r="BB32" s="37"/>
      <c r="BC32" s="37"/>
      <c r="BD32" s="37"/>
      <c r="BE32" s="37"/>
    </row>
    <row r="33" spans="2:57" s="31" customFormat="1" ht="15.5" x14ac:dyDescent="0.3">
      <c r="B33" s="170" t="s">
        <v>509</v>
      </c>
      <c r="C33" s="160" t="s">
        <v>242</v>
      </c>
      <c r="D33" s="34"/>
      <c r="E33" s="34"/>
      <c r="F33" s="34"/>
      <c r="G33" s="34"/>
      <c r="H33" s="59"/>
      <c r="J33" s="173"/>
      <c r="K33" s="173"/>
      <c r="L33" s="173"/>
      <c r="M33" s="41"/>
      <c r="N33" s="41"/>
      <c r="O33" s="265"/>
      <c r="Q33" s="47"/>
      <c r="R33" s="102"/>
      <c r="S33" s="102"/>
      <c r="T33" s="36"/>
      <c r="U33" s="36"/>
      <c r="V33" s="181"/>
      <c r="W33" s="181"/>
      <c r="X33" s="61"/>
      <c r="Y33" s="36"/>
      <c r="Z33" s="61"/>
      <c r="AA33" s="182"/>
      <c r="AB33" s="61"/>
      <c r="AC33" s="61"/>
      <c r="AD33" s="61"/>
      <c r="AE33" s="61"/>
      <c r="AF33" s="182"/>
      <c r="AG33" s="61"/>
      <c r="AH33" s="36"/>
      <c r="AI33" s="36"/>
      <c r="AJ33" s="36"/>
      <c r="AK33" s="108"/>
      <c r="AL33" s="36"/>
      <c r="AM33" s="36"/>
      <c r="AN33" s="37"/>
      <c r="AO33" s="37"/>
      <c r="AP33" s="37"/>
      <c r="AQ33" s="37"/>
      <c r="AR33" s="37"/>
      <c r="AS33" s="37"/>
      <c r="AT33" s="37"/>
      <c r="AU33" s="37"/>
      <c r="AV33" s="37"/>
      <c r="AW33" s="37"/>
      <c r="AX33" s="37"/>
      <c r="AY33" s="37"/>
      <c r="AZ33" s="37"/>
      <c r="BA33" s="37"/>
      <c r="BB33" s="37"/>
      <c r="BC33" s="37"/>
      <c r="BD33" s="37"/>
      <c r="BE33" s="37"/>
    </row>
    <row r="34" spans="2:57" s="31" customFormat="1" ht="15.5" x14ac:dyDescent="0.35">
      <c r="B34" s="39" t="s">
        <v>393</v>
      </c>
      <c r="C34" s="156"/>
      <c r="D34" s="88" t="s">
        <v>175</v>
      </c>
      <c r="E34" s="32"/>
      <c r="F34" s="32"/>
      <c r="G34" s="34"/>
      <c r="H34" s="84"/>
      <c r="J34" s="33" t="s">
        <v>453</v>
      </c>
      <c r="K34" s="96">
        <f>Muut!$H$7*IF(OR(C35=Pudotusvalikot!$V$3,C35=Pudotusvalikot!$V$4),Muut!$E$38,IF(C35=Pudotusvalikot!$V$5,Muut!$E$39,IF(C35=Pudotusvalikot!$V$6,Muut!$E$40,Muut!$E$41)))</f>
        <v>0.51195000000000002</v>
      </c>
      <c r="L34" s="40"/>
      <c r="M34" s="41" t="s">
        <v>226</v>
      </c>
      <c r="N34" s="41"/>
      <c r="O34" s="265"/>
      <c r="Q34" s="35"/>
      <c r="R34" s="48" t="str">
        <f>IF(ISNUMBER(C34),IF(ISNUMBER(L34),L34*C34,K34*C34),"")</f>
        <v/>
      </c>
      <c r="S34" s="102" t="s">
        <v>172</v>
      </c>
      <c r="T34" s="43"/>
      <c r="U34" s="43"/>
      <c r="V34" s="43"/>
      <c r="W34" s="36"/>
      <c r="X34" s="36"/>
      <c r="Y34" s="36"/>
      <c r="Z34" s="36"/>
      <c r="AA34" s="36"/>
      <c r="AB34" s="36"/>
      <c r="AC34" s="36"/>
      <c r="AD34" s="36"/>
      <c r="AE34" s="36"/>
      <c r="AF34" s="36"/>
      <c r="AG34" s="36"/>
      <c r="AH34" s="36"/>
      <c r="AI34" s="36"/>
      <c r="AJ34" s="36"/>
      <c r="AK34" s="36"/>
      <c r="AL34" s="36"/>
      <c r="AM34" s="36"/>
      <c r="AN34" s="37"/>
      <c r="AO34" s="37"/>
      <c r="AP34" s="37"/>
      <c r="AQ34" s="37"/>
      <c r="AR34" s="37"/>
      <c r="AS34" s="37"/>
      <c r="AT34" s="37"/>
      <c r="AU34" s="37"/>
      <c r="AV34" s="37"/>
      <c r="AW34" s="37"/>
      <c r="AX34" s="37"/>
      <c r="AY34" s="37"/>
      <c r="AZ34" s="37"/>
      <c r="BA34" s="37"/>
      <c r="BB34" s="37"/>
      <c r="BC34" s="37"/>
      <c r="BD34" s="37"/>
      <c r="BE34" s="37"/>
    </row>
    <row r="35" spans="2:57" s="31" customFormat="1" ht="15.5" x14ac:dyDescent="0.3">
      <c r="B35" s="170" t="s">
        <v>509</v>
      </c>
      <c r="C35" s="160" t="s">
        <v>242</v>
      </c>
      <c r="D35" s="34"/>
      <c r="E35" s="34"/>
      <c r="F35" s="34"/>
      <c r="G35" s="34"/>
      <c r="H35" s="59"/>
      <c r="J35" s="173"/>
      <c r="K35" s="173"/>
      <c r="L35" s="173"/>
      <c r="M35" s="41"/>
      <c r="N35" s="41"/>
      <c r="O35" s="265"/>
      <c r="Q35" s="47"/>
      <c r="R35" s="102"/>
      <c r="S35" s="102"/>
      <c r="T35" s="36"/>
      <c r="U35" s="36"/>
      <c r="V35" s="181"/>
      <c r="W35" s="181"/>
      <c r="X35" s="61"/>
      <c r="Y35" s="36"/>
      <c r="Z35" s="61"/>
      <c r="AA35" s="182"/>
      <c r="AB35" s="61"/>
      <c r="AC35" s="61"/>
      <c r="AD35" s="61"/>
      <c r="AE35" s="61"/>
      <c r="AF35" s="182"/>
      <c r="AG35" s="61"/>
      <c r="AH35" s="36"/>
      <c r="AI35" s="36"/>
      <c r="AJ35" s="36"/>
      <c r="AK35" s="108"/>
      <c r="AL35" s="36"/>
      <c r="AM35" s="36"/>
      <c r="AN35" s="37"/>
      <c r="AO35" s="37"/>
      <c r="AP35" s="37"/>
      <c r="AQ35" s="37"/>
      <c r="AR35" s="37"/>
      <c r="AS35" s="37"/>
      <c r="AT35" s="37"/>
      <c r="AU35" s="37"/>
      <c r="AV35" s="37"/>
      <c r="AW35" s="37"/>
      <c r="AX35" s="37"/>
      <c r="AY35" s="37"/>
      <c r="AZ35" s="37"/>
      <c r="BA35" s="37"/>
      <c r="BB35" s="37"/>
      <c r="BC35" s="37"/>
      <c r="BD35" s="37"/>
      <c r="BE35" s="37"/>
    </row>
    <row r="36" spans="2:57" s="31" customFormat="1" ht="15.5" x14ac:dyDescent="0.3">
      <c r="B36" s="9"/>
      <c r="C36" s="34"/>
      <c r="D36" s="84"/>
      <c r="G36" s="34"/>
      <c r="H36" s="84"/>
      <c r="K36" s="34"/>
      <c r="L36" s="34"/>
      <c r="M36" s="84"/>
      <c r="N36" s="84"/>
      <c r="O36" s="84"/>
      <c r="Q36" s="35"/>
      <c r="R36" s="36"/>
      <c r="S36" s="36"/>
      <c r="T36" s="36"/>
      <c r="U36" s="36"/>
      <c r="V36" s="36"/>
      <c r="W36" s="36"/>
      <c r="X36" s="36"/>
      <c r="Y36" s="36"/>
      <c r="Z36" s="36"/>
      <c r="AA36" s="36"/>
      <c r="AB36" s="36"/>
      <c r="AC36" s="36"/>
      <c r="AD36" s="36"/>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row>
    <row r="37" spans="2:57" s="298" customFormat="1" ht="18" x14ac:dyDescent="0.3">
      <c r="B37" s="295" t="s">
        <v>609</v>
      </c>
      <c r="C37" s="296"/>
      <c r="D37" s="297"/>
      <c r="G37" s="296"/>
      <c r="H37" s="297"/>
      <c r="K37" s="296"/>
      <c r="L37" s="296"/>
      <c r="M37" s="297"/>
      <c r="N37" s="297"/>
      <c r="O37" s="300"/>
      <c r="P37" s="320"/>
      <c r="Q37" s="304"/>
      <c r="S37" s="303"/>
      <c r="T37" s="303"/>
      <c r="U37" s="303"/>
      <c r="V37" s="303"/>
      <c r="W37" s="303"/>
      <c r="X37" s="303"/>
      <c r="Y37" s="303"/>
      <c r="Z37" s="303"/>
      <c r="AA37" s="303"/>
      <c r="AB37" s="303"/>
      <c r="AC37" s="303"/>
      <c r="AD37" s="303"/>
      <c r="AE37" s="303"/>
      <c r="AF37" s="303"/>
      <c r="AG37" s="303"/>
      <c r="AH37" s="303"/>
      <c r="AI37" s="303"/>
      <c r="AJ37" s="303"/>
      <c r="AK37" s="303"/>
      <c r="AL37" s="303"/>
      <c r="AM37" s="303"/>
      <c r="AN37" s="304"/>
      <c r="AO37" s="304"/>
      <c r="AP37" s="304"/>
      <c r="AQ37" s="304"/>
      <c r="AR37" s="304"/>
      <c r="AS37" s="304"/>
      <c r="AT37" s="304"/>
      <c r="AU37" s="304"/>
      <c r="AV37" s="304"/>
      <c r="AW37" s="304"/>
      <c r="AX37" s="304"/>
      <c r="AY37" s="304"/>
      <c r="AZ37" s="304"/>
      <c r="BA37" s="304"/>
      <c r="BB37" s="304"/>
      <c r="BC37" s="304"/>
      <c r="BD37" s="304"/>
      <c r="BE37" s="304"/>
    </row>
    <row r="38" spans="2:57" s="31" customFormat="1" ht="15.5" x14ac:dyDescent="0.3">
      <c r="B38" s="54"/>
      <c r="Q38" s="133"/>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row>
    <row r="39" spans="2:57" s="31" customFormat="1" ht="15.5" x14ac:dyDescent="0.3">
      <c r="B39" s="155" t="s">
        <v>389</v>
      </c>
      <c r="C39" s="54"/>
      <c r="D39" s="54"/>
      <c r="E39" s="54"/>
      <c r="F39" s="54"/>
      <c r="G39" s="54"/>
      <c r="H39" s="54"/>
      <c r="I39" s="54"/>
      <c r="J39" s="54"/>
      <c r="K39" s="38" t="s">
        <v>329</v>
      </c>
      <c r="L39" s="38" t="s">
        <v>201</v>
      </c>
      <c r="M39" s="84"/>
      <c r="N39" s="84"/>
      <c r="O39" s="255" t="s">
        <v>644</v>
      </c>
      <c r="P39" s="38"/>
      <c r="Q39" s="35"/>
      <c r="R39" s="61" t="s">
        <v>350</v>
      </c>
      <c r="S39" s="36"/>
      <c r="T39" s="36" t="s">
        <v>275</v>
      </c>
      <c r="U39" s="36" t="s">
        <v>351</v>
      </c>
      <c r="V39" s="36" t="s">
        <v>352</v>
      </c>
      <c r="W39" s="36"/>
      <c r="X39" s="36"/>
      <c r="Y39" s="36"/>
      <c r="Z39" s="36"/>
      <c r="AA39" s="62"/>
      <c r="AB39" s="36"/>
      <c r="AC39" s="36"/>
      <c r="AD39" s="36"/>
      <c r="AE39" s="36"/>
      <c r="AF39" s="36"/>
      <c r="AG39" s="36"/>
      <c r="AH39" s="36"/>
      <c r="AI39" s="36"/>
      <c r="AJ39" s="36"/>
      <c r="AK39" s="36"/>
      <c r="AL39" s="36"/>
      <c r="AM39" s="36"/>
      <c r="AN39" s="37"/>
      <c r="AO39" s="37"/>
      <c r="AP39" s="37"/>
      <c r="AQ39" s="37"/>
      <c r="AR39" s="37"/>
      <c r="AS39" s="37"/>
      <c r="AT39" s="37"/>
      <c r="AU39" s="37"/>
      <c r="AV39" s="37"/>
      <c r="AW39" s="37"/>
      <c r="AX39" s="37"/>
      <c r="AY39" s="37"/>
      <c r="AZ39" s="37"/>
      <c r="BA39" s="37"/>
      <c r="BB39" s="37"/>
      <c r="BC39" s="37"/>
      <c r="BD39" s="37"/>
      <c r="BE39" s="37"/>
    </row>
    <row r="40" spans="2:57" s="31" customFormat="1" ht="15.5" x14ac:dyDescent="0.3">
      <c r="B40" s="54" t="s">
        <v>510</v>
      </c>
      <c r="C40" s="392" t="s">
        <v>128</v>
      </c>
      <c r="D40" s="393"/>
      <c r="E40" s="393"/>
      <c r="F40" s="393"/>
      <c r="G40" s="394"/>
      <c r="J40" s="33" t="s">
        <v>470</v>
      </c>
      <c r="K40" s="110">
        <f>IF(ISNUMBER(L40),L40,IF(OR(C40=Pudotusvalikot!$D$67,C40=Pudotusvalikot!$D$68),"--",VLOOKUP(C40,Kalusto!$C$5:$E$42,3,FALSE)*IF(OR(C41=Pudotusvalikot!$V$3,C41=Pudotusvalikot!$V$4),Muut!$E$38,IF(C41=Pudotusvalikot!$V$5,Muut!$E$39,IF(C41=Pudotusvalikot!$V$6,Muut!$E$40,Muut!$E$41)))))</f>
        <v>34.130000000000003</v>
      </c>
      <c r="L40" s="40"/>
      <c r="M40" s="41" t="s">
        <v>205</v>
      </c>
      <c r="N40" s="41"/>
      <c r="O40" s="256"/>
      <c r="P40" s="60"/>
      <c r="Q40" s="35"/>
      <c r="R40" s="50" t="str">
        <f>IF(ISNUMBER(K40*V40),K40*V40,"")</f>
        <v/>
      </c>
      <c r="S40" s="102" t="s">
        <v>172</v>
      </c>
      <c r="T40" s="50" t="str">
        <f>IF(ISNUMBER(C42),C42,"")</f>
        <v/>
      </c>
      <c r="U40" s="64" t="str">
        <f>IF(D42="h","",IF(ISNUMBER(C42),C42,""))</f>
        <v/>
      </c>
      <c r="V40" s="50" t="str">
        <f>IF(ISNUMBER(T40),IF(D42="h",C42,IF(ISNUMBER(T40*U40),IF(D42="m3/h",T40/U40,T40*U40),"")),"")</f>
        <v/>
      </c>
      <c r="W40" s="108"/>
      <c r="X40" s="61"/>
      <c r="Y40" s="36"/>
      <c r="Z40" s="36"/>
      <c r="AA40" s="36"/>
      <c r="AB40" s="36"/>
      <c r="AC40" s="36"/>
      <c r="AD40" s="36"/>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row>
    <row r="41" spans="2:57" s="31" customFormat="1" ht="15.5" x14ac:dyDescent="0.3">
      <c r="B41" s="170" t="s">
        <v>509</v>
      </c>
      <c r="C41" s="160" t="s">
        <v>242</v>
      </c>
      <c r="D41" s="34"/>
      <c r="E41" s="34"/>
      <c r="F41" s="34"/>
      <c r="G41" s="34"/>
      <c r="J41" s="33"/>
      <c r="K41" s="33"/>
      <c r="L41" s="33"/>
      <c r="M41" s="33"/>
      <c r="N41" s="33"/>
      <c r="O41" s="271"/>
      <c r="P41" s="60"/>
      <c r="Q41" s="35"/>
      <c r="R41" s="61"/>
      <c r="S41" s="102"/>
      <c r="T41" s="61"/>
      <c r="U41" s="62"/>
      <c r="V41" s="61"/>
      <c r="W41" s="108"/>
      <c r="X41" s="61"/>
      <c r="Y41" s="36"/>
      <c r="Z41" s="36"/>
      <c r="AA41" s="36"/>
      <c r="AB41" s="36"/>
      <c r="AC41" s="36"/>
      <c r="AD41" s="36"/>
      <c r="AE41" s="36"/>
      <c r="AF41" s="36"/>
      <c r="AG41" s="36"/>
      <c r="AH41" s="36"/>
      <c r="AI41" s="36"/>
      <c r="AJ41" s="36"/>
      <c r="AK41" s="36"/>
      <c r="AL41" s="36"/>
      <c r="AM41" s="36"/>
      <c r="AN41" s="37"/>
      <c r="AO41" s="37"/>
      <c r="AP41" s="37"/>
      <c r="AQ41" s="37"/>
      <c r="AR41" s="37"/>
      <c r="AS41" s="37"/>
      <c r="AT41" s="37"/>
      <c r="AU41" s="37"/>
      <c r="AV41" s="37"/>
      <c r="AW41" s="37"/>
      <c r="AX41" s="37"/>
      <c r="AY41" s="37"/>
      <c r="AZ41" s="37"/>
      <c r="BA41" s="37"/>
      <c r="BB41" s="37"/>
      <c r="BC41" s="37"/>
      <c r="BD41" s="37"/>
      <c r="BE41" s="37"/>
    </row>
    <row r="42" spans="2:57" s="31" customFormat="1" ht="15.5" x14ac:dyDescent="0.3">
      <c r="B42" s="45" t="s">
        <v>392</v>
      </c>
      <c r="C42" s="159"/>
      <c r="D42" s="84" t="s">
        <v>51</v>
      </c>
      <c r="E42" s="34"/>
      <c r="F42" s="34"/>
      <c r="G42" s="34"/>
      <c r="J42" s="33"/>
      <c r="M42" s="84"/>
      <c r="N42" s="84"/>
      <c r="O42" s="100"/>
      <c r="P42" s="42"/>
      <c r="Q42" s="52"/>
      <c r="R42" s="111"/>
      <c r="S42" s="36"/>
      <c r="T42" s="36"/>
      <c r="U42" s="36"/>
      <c r="V42" s="36"/>
      <c r="W42" s="36"/>
      <c r="X42" s="36"/>
      <c r="Y42" s="36"/>
      <c r="Z42" s="36"/>
      <c r="AA42" s="36"/>
      <c r="AB42" s="36"/>
      <c r="AC42" s="36"/>
      <c r="AD42" s="36"/>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row>
    <row r="43" spans="2:57" s="31" customFormat="1" ht="15.5" x14ac:dyDescent="0.3">
      <c r="B43" s="155" t="s">
        <v>390</v>
      </c>
      <c r="K43" s="38" t="s">
        <v>329</v>
      </c>
      <c r="L43" s="38" t="s">
        <v>201</v>
      </c>
      <c r="O43" s="259"/>
      <c r="Q43" s="133"/>
      <c r="R43" s="61" t="s">
        <v>350</v>
      </c>
      <c r="S43" s="108"/>
      <c r="T43" s="36" t="s">
        <v>275</v>
      </c>
      <c r="U43" s="36" t="s">
        <v>351</v>
      </c>
      <c r="V43" s="36" t="s">
        <v>352</v>
      </c>
      <c r="W43" s="36"/>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row>
    <row r="44" spans="2:57" s="31" customFormat="1" ht="15.65" customHeight="1" x14ac:dyDescent="0.3">
      <c r="B44" s="45" t="s">
        <v>510</v>
      </c>
      <c r="C44" s="392" t="s">
        <v>128</v>
      </c>
      <c r="D44" s="393"/>
      <c r="E44" s="393"/>
      <c r="F44" s="393"/>
      <c r="G44" s="394"/>
      <c r="J44" s="33" t="s">
        <v>470</v>
      </c>
      <c r="K44" s="110">
        <f>IF(ISNUMBER(L44),L44,IF(OR(C44=Pudotusvalikot!$D$67,C44=Pudotusvalikot!$D$68),"--",VLOOKUP(C44,Kalusto!$C$5:$E$42,3,FALSE)*IF(OR(C45=Pudotusvalikot!$V$3,C45=Pudotusvalikot!$V$4),Muut!$E$38,IF(C45=Pudotusvalikot!$V$5,Muut!$E$39,IF(C45=Pudotusvalikot!$V$6,Muut!$E$40,Muut!$E$41)))))</f>
        <v>34.130000000000003</v>
      </c>
      <c r="L44" s="40"/>
      <c r="M44" s="41" t="s">
        <v>205</v>
      </c>
      <c r="N44" s="41"/>
      <c r="O44" s="265"/>
      <c r="P44" s="60"/>
      <c r="Q44" s="35"/>
      <c r="R44" s="50" t="str">
        <f>IF(ISNUMBER(K44*V44),K44*V44,"")</f>
        <v/>
      </c>
      <c r="S44" s="102" t="s">
        <v>172</v>
      </c>
      <c r="T44" s="50" t="str">
        <f>IF(ISNUMBER(C46),C46,"")</f>
        <v/>
      </c>
      <c r="U44" s="64" t="str">
        <f>IF(D46="h","",IF(ISNUMBER(C46),C46,""))</f>
        <v/>
      </c>
      <c r="V44" s="50" t="str">
        <f>IF(ISNUMBER(T44),IF(D46="h",C46,IF(ISNUMBER(T44*U44),IF(D46="m3/h",T44/U44,T44*U44),"")),"")</f>
        <v/>
      </c>
      <c r="W44" s="108"/>
      <c r="X44" s="61"/>
      <c r="Y44" s="36"/>
      <c r="Z44" s="36"/>
      <c r="AA44" s="36"/>
      <c r="AB44" s="36"/>
      <c r="AC44" s="36"/>
      <c r="AD44" s="36"/>
      <c r="AE44" s="36"/>
      <c r="AF44" s="36"/>
      <c r="AG44" s="36"/>
      <c r="AH44" s="36"/>
      <c r="AI44" s="36"/>
      <c r="AJ44" s="36"/>
      <c r="AK44" s="36"/>
      <c r="AL44" s="36"/>
      <c r="AM44" s="36"/>
      <c r="AN44" s="37"/>
      <c r="AO44" s="37"/>
      <c r="AP44" s="37"/>
      <c r="AQ44" s="37"/>
      <c r="AR44" s="37"/>
      <c r="AS44" s="37"/>
      <c r="AT44" s="37"/>
      <c r="AU44" s="37"/>
      <c r="AV44" s="37"/>
      <c r="AW44" s="37"/>
      <c r="AX44" s="37"/>
      <c r="AY44" s="37"/>
      <c r="AZ44" s="37"/>
      <c r="BA44" s="37"/>
      <c r="BB44" s="37"/>
      <c r="BC44" s="37"/>
      <c r="BD44" s="37"/>
      <c r="BE44" s="37"/>
    </row>
    <row r="45" spans="2:57" s="31" customFormat="1" ht="15.65" customHeight="1" x14ac:dyDescent="0.3">
      <c r="B45" s="170" t="s">
        <v>509</v>
      </c>
      <c r="C45" s="160" t="s">
        <v>242</v>
      </c>
      <c r="D45" s="34"/>
      <c r="E45" s="34"/>
      <c r="F45" s="34"/>
      <c r="G45" s="34"/>
      <c r="J45" s="33"/>
      <c r="K45" s="33"/>
      <c r="L45" s="33"/>
      <c r="M45" s="33"/>
      <c r="N45" s="33"/>
      <c r="O45" s="271"/>
      <c r="P45" s="60"/>
      <c r="Q45" s="35"/>
      <c r="R45" s="61"/>
      <c r="S45" s="102"/>
      <c r="T45" s="61"/>
      <c r="U45" s="62"/>
      <c r="V45" s="61"/>
      <c r="W45" s="108"/>
      <c r="X45" s="61"/>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row>
    <row r="46" spans="2:57" s="31" customFormat="1" ht="15.5" x14ac:dyDescent="0.3">
      <c r="B46" s="45" t="s">
        <v>392</v>
      </c>
      <c r="C46" s="159"/>
      <c r="D46" s="84" t="s">
        <v>51</v>
      </c>
      <c r="E46" s="34"/>
      <c r="F46" s="34"/>
      <c r="G46" s="34"/>
      <c r="J46" s="33"/>
      <c r="K46" s="38"/>
      <c r="L46" s="38"/>
      <c r="M46" s="84"/>
      <c r="N46" s="84"/>
      <c r="O46" s="100"/>
      <c r="P46" s="42"/>
      <c r="Q46" s="52"/>
      <c r="R46" s="111"/>
      <c r="S46" s="36"/>
      <c r="T46" s="36"/>
      <c r="U46" s="36"/>
      <c r="V46" s="36"/>
      <c r="W46" s="36"/>
      <c r="X46" s="36"/>
      <c r="Y46" s="36"/>
      <c r="Z46" s="36"/>
      <c r="AA46" s="36"/>
      <c r="AB46" s="36"/>
      <c r="AC46" s="36"/>
      <c r="AD46" s="36"/>
      <c r="AE46" s="36"/>
      <c r="AF46" s="36"/>
      <c r="AG46" s="36"/>
      <c r="AH46" s="36"/>
      <c r="AI46" s="36"/>
      <c r="AJ46" s="36"/>
      <c r="AK46" s="36"/>
      <c r="AL46" s="36"/>
      <c r="AM46" s="36"/>
      <c r="AN46" s="37"/>
      <c r="AO46" s="37"/>
      <c r="AP46" s="37"/>
      <c r="AQ46" s="37"/>
      <c r="AR46" s="37"/>
      <c r="AS46" s="37"/>
      <c r="AT46" s="37"/>
      <c r="AU46" s="37"/>
      <c r="AV46" s="37"/>
      <c r="AW46" s="37"/>
      <c r="AX46" s="37"/>
      <c r="AY46" s="37"/>
      <c r="AZ46" s="37"/>
      <c r="BA46" s="37"/>
      <c r="BB46" s="37"/>
      <c r="BC46" s="37"/>
      <c r="BD46" s="37"/>
      <c r="BE46" s="37"/>
    </row>
    <row r="47" spans="2:57" s="31" customFormat="1" ht="15.5" x14ac:dyDescent="0.3">
      <c r="B47" s="155" t="s">
        <v>391</v>
      </c>
      <c r="K47" s="38" t="s">
        <v>329</v>
      </c>
      <c r="L47" s="38" t="s">
        <v>201</v>
      </c>
      <c r="O47" s="259"/>
      <c r="Q47" s="133"/>
      <c r="R47" s="61" t="s">
        <v>350</v>
      </c>
      <c r="S47" s="108"/>
      <c r="T47" s="36" t="s">
        <v>275</v>
      </c>
      <c r="U47" s="36" t="s">
        <v>351</v>
      </c>
      <c r="V47" s="36" t="s">
        <v>352</v>
      </c>
      <c r="W47" s="36"/>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row>
    <row r="48" spans="2:57" s="31" customFormat="1" ht="15.5" x14ac:dyDescent="0.3">
      <c r="B48" s="45" t="s">
        <v>510</v>
      </c>
      <c r="C48" s="392" t="s">
        <v>128</v>
      </c>
      <c r="D48" s="393"/>
      <c r="E48" s="393"/>
      <c r="F48" s="393"/>
      <c r="G48" s="394"/>
      <c r="J48" s="33" t="s">
        <v>470</v>
      </c>
      <c r="K48" s="110">
        <f>IF(ISNUMBER(L48),L48,IF(OR(C48=Pudotusvalikot!$D$67,C48=Pudotusvalikot!$D$68),"--",VLOOKUP(C48,Kalusto!$C$5:$E$42,3,FALSE)*IF(OR(C49=Pudotusvalikot!$V$3,C49=Pudotusvalikot!$V$4),Muut!$E$38,IF(C49=Pudotusvalikot!$V$5,Muut!$E$39,IF(C49=Pudotusvalikot!$V$6,Muut!$E$40,Muut!$E$41)))))</f>
        <v>34.130000000000003</v>
      </c>
      <c r="L48" s="40"/>
      <c r="M48" s="41" t="s">
        <v>205</v>
      </c>
      <c r="N48" s="41"/>
      <c r="O48" s="265"/>
      <c r="P48" s="60"/>
      <c r="Q48" s="35"/>
      <c r="R48" s="50" t="str">
        <f>IF(ISNUMBER(K48*V48),K48*V48,"")</f>
        <v/>
      </c>
      <c r="S48" s="102" t="s">
        <v>172</v>
      </c>
      <c r="T48" s="50" t="str">
        <f>IF(ISNUMBER(C50),C50,"")</f>
        <v/>
      </c>
      <c r="U48" s="64" t="str">
        <f>IF(D50="h","",IF(ISNUMBER(C50),C50,""))</f>
        <v/>
      </c>
      <c r="V48" s="50" t="str">
        <f>IF(ISNUMBER(T48),IF(D50="h",C50,IF(ISNUMBER(T48*U48),IF(D50="m3/h",T48/U48,T48*U48),"")),"")</f>
        <v/>
      </c>
      <c r="W48" s="108"/>
      <c r="X48" s="61"/>
      <c r="Y48" s="36"/>
      <c r="Z48" s="36"/>
      <c r="AA48" s="36"/>
      <c r="AB48" s="36"/>
      <c r="AC48" s="36"/>
      <c r="AD48" s="36"/>
      <c r="AE48" s="36"/>
      <c r="AF48" s="36"/>
      <c r="AG48" s="36"/>
      <c r="AH48" s="36"/>
      <c r="AI48" s="36"/>
      <c r="AJ48" s="36"/>
      <c r="AK48" s="36"/>
      <c r="AL48" s="36"/>
      <c r="AM48" s="36"/>
      <c r="AN48" s="37"/>
      <c r="AO48" s="37"/>
      <c r="AP48" s="37"/>
      <c r="AQ48" s="37"/>
      <c r="AR48" s="37"/>
      <c r="AS48" s="37"/>
      <c r="AT48" s="37"/>
      <c r="AU48" s="37"/>
      <c r="AV48" s="37"/>
      <c r="AW48" s="37"/>
      <c r="AX48" s="37"/>
      <c r="AY48" s="37"/>
      <c r="AZ48" s="37"/>
      <c r="BA48" s="37"/>
      <c r="BB48" s="37"/>
      <c r="BC48" s="37"/>
      <c r="BD48" s="37"/>
      <c r="BE48" s="37"/>
    </row>
    <row r="49" spans="2:57" s="31" customFormat="1" ht="15.5" x14ac:dyDescent="0.3">
      <c r="B49" s="170" t="s">
        <v>509</v>
      </c>
      <c r="C49" s="160" t="s">
        <v>242</v>
      </c>
      <c r="D49" s="34"/>
      <c r="E49" s="34"/>
      <c r="F49" s="34"/>
      <c r="G49" s="34"/>
      <c r="J49" s="33"/>
      <c r="K49" s="33"/>
      <c r="L49" s="33"/>
      <c r="M49" s="33"/>
      <c r="N49" s="33"/>
      <c r="O49" s="271"/>
      <c r="P49" s="60"/>
      <c r="Q49" s="35"/>
      <c r="R49" s="61"/>
      <c r="S49" s="102"/>
      <c r="T49" s="61"/>
      <c r="U49" s="62"/>
      <c r="V49" s="61"/>
      <c r="W49" s="108"/>
      <c r="X49" s="61"/>
      <c r="Y49" s="36"/>
      <c r="Z49" s="36"/>
      <c r="AA49" s="36"/>
      <c r="AB49" s="36"/>
      <c r="AC49" s="36"/>
      <c r="AD49" s="36"/>
      <c r="AE49" s="36"/>
      <c r="AF49" s="36"/>
      <c r="AG49" s="36"/>
      <c r="AH49" s="36"/>
      <c r="AI49" s="36"/>
      <c r="AJ49" s="36"/>
      <c r="AK49" s="36"/>
      <c r="AL49" s="36"/>
      <c r="AM49" s="36"/>
      <c r="AN49" s="37"/>
      <c r="AO49" s="37"/>
      <c r="AP49" s="37"/>
      <c r="AQ49" s="37"/>
      <c r="AR49" s="37"/>
      <c r="AS49" s="37"/>
      <c r="AT49" s="37"/>
      <c r="AU49" s="37"/>
      <c r="AV49" s="37"/>
      <c r="AW49" s="37"/>
      <c r="AX49" s="37"/>
      <c r="AY49" s="37"/>
      <c r="AZ49" s="37"/>
      <c r="BA49" s="37"/>
      <c r="BB49" s="37"/>
      <c r="BC49" s="37"/>
      <c r="BD49" s="37"/>
      <c r="BE49" s="37"/>
    </row>
    <row r="50" spans="2:57" s="31" customFormat="1" ht="15.5" x14ac:dyDescent="0.3">
      <c r="B50" s="45" t="s">
        <v>392</v>
      </c>
      <c r="C50" s="159"/>
      <c r="D50" s="84" t="s">
        <v>51</v>
      </c>
      <c r="E50" s="34"/>
      <c r="F50" s="34"/>
      <c r="G50" s="34"/>
      <c r="J50" s="33"/>
      <c r="K50" s="34"/>
      <c r="L50" s="34"/>
      <c r="M50" s="84"/>
      <c r="N50" s="84"/>
      <c r="O50" s="100"/>
      <c r="P50" s="42"/>
      <c r="Q50" s="52"/>
      <c r="R50" s="111"/>
      <c r="S50" s="36"/>
      <c r="T50" s="36"/>
      <c r="U50" s="36"/>
      <c r="V50" s="36"/>
      <c r="W50" s="36"/>
      <c r="X50" s="36"/>
      <c r="Y50" s="36"/>
      <c r="Z50" s="36"/>
      <c r="AA50" s="36"/>
      <c r="AB50" s="36"/>
      <c r="AC50" s="36"/>
      <c r="AD50" s="36"/>
      <c r="AE50" s="36"/>
      <c r="AF50" s="36"/>
      <c r="AG50" s="36"/>
      <c r="AH50" s="36"/>
      <c r="AI50" s="36"/>
      <c r="AJ50" s="36"/>
      <c r="AK50" s="36"/>
      <c r="AL50" s="36"/>
      <c r="AM50" s="36"/>
      <c r="AN50" s="37"/>
      <c r="AO50" s="37"/>
      <c r="AP50" s="37"/>
      <c r="AQ50" s="37"/>
      <c r="AR50" s="37"/>
      <c r="AS50" s="37"/>
      <c r="AT50" s="37"/>
      <c r="AU50" s="37"/>
      <c r="AV50" s="37"/>
      <c r="AW50" s="37"/>
      <c r="AX50" s="37"/>
      <c r="AY50" s="37"/>
      <c r="AZ50" s="37"/>
      <c r="BA50" s="37"/>
      <c r="BB50" s="37"/>
      <c r="BC50" s="37"/>
      <c r="BD50" s="37"/>
      <c r="BE50" s="37"/>
    </row>
    <row r="51" spans="2:57" s="31" customFormat="1" ht="15.5" x14ac:dyDescent="0.3">
      <c r="C51" s="80"/>
      <c r="D51" s="84"/>
      <c r="G51" s="34"/>
      <c r="H51" s="84"/>
      <c r="J51" s="33"/>
      <c r="K51" s="34"/>
      <c r="L51" s="34"/>
      <c r="M51" s="84"/>
      <c r="N51" s="84"/>
      <c r="O51" s="84"/>
      <c r="Q51" s="35"/>
      <c r="R51" s="111"/>
      <c r="S51" s="36"/>
      <c r="T51" s="36"/>
      <c r="U51" s="36"/>
      <c r="V51" s="36"/>
      <c r="W51" s="36"/>
      <c r="X51" s="36"/>
      <c r="Y51" s="36"/>
      <c r="Z51" s="36"/>
      <c r="AA51" s="36"/>
      <c r="AB51" s="36"/>
      <c r="AC51" s="36"/>
      <c r="AD51" s="36"/>
      <c r="AE51" s="36"/>
      <c r="AF51" s="36"/>
      <c r="AG51" s="36"/>
      <c r="AH51" s="36"/>
      <c r="AI51" s="36"/>
      <c r="AJ51" s="36"/>
      <c r="AK51" s="36"/>
      <c r="AL51" s="36"/>
      <c r="AM51" s="36"/>
      <c r="AN51" s="37"/>
      <c r="AO51" s="37"/>
      <c r="AP51" s="37"/>
      <c r="AQ51" s="37"/>
      <c r="AR51" s="37"/>
      <c r="AS51" s="37"/>
      <c r="AT51" s="37"/>
      <c r="AU51" s="37"/>
      <c r="AV51" s="37"/>
      <c r="AW51" s="37"/>
      <c r="AX51" s="37"/>
      <c r="AY51" s="37"/>
      <c r="AZ51" s="37"/>
      <c r="BA51" s="37"/>
      <c r="BB51" s="37"/>
      <c r="BC51" s="37"/>
      <c r="BD51" s="37"/>
      <c r="BE51" s="37"/>
    </row>
    <row r="52" spans="2:57" s="298" customFormat="1" ht="18" x14ac:dyDescent="0.3">
      <c r="B52" s="295" t="s">
        <v>591</v>
      </c>
      <c r="C52" s="296"/>
      <c r="D52" s="297"/>
      <c r="G52" s="296"/>
      <c r="H52" s="297"/>
      <c r="K52" s="296"/>
      <c r="L52" s="296"/>
      <c r="M52" s="297"/>
      <c r="N52" s="297"/>
      <c r="O52" s="300"/>
      <c r="P52" s="320"/>
      <c r="Q52" s="304"/>
      <c r="S52" s="303"/>
      <c r="T52" s="303"/>
      <c r="U52" s="303"/>
      <c r="V52" s="303"/>
      <c r="W52" s="303"/>
      <c r="X52" s="303"/>
      <c r="Y52" s="303"/>
      <c r="Z52" s="303"/>
      <c r="AA52" s="303"/>
      <c r="AB52" s="303"/>
      <c r="AC52" s="303"/>
      <c r="AD52" s="303"/>
      <c r="AE52" s="303"/>
      <c r="AF52" s="303"/>
      <c r="AG52" s="303"/>
      <c r="AH52" s="303"/>
      <c r="AI52" s="303"/>
      <c r="AJ52" s="303"/>
      <c r="AK52" s="303"/>
      <c r="AL52" s="303"/>
      <c r="AM52" s="303"/>
      <c r="AN52" s="304"/>
      <c r="AO52" s="304"/>
      <c r="AP52" s="304"/>
      <c r="AQ52" s="304"/>
      <c r="AR52" s="304"/>
      <c r="AS52" s="304"/>
      <c r="AT52" s="304"/>
      <c r="AU52" s="304"/>
      <c r="AV52" s="304"/>
      <c r="AW52" s="304"/>
      <c r="AX52" s="304"/>
      <c r="AY52" s="304"/>
      <c r="AZ52" s="304"/>
      <c r="BA52" s="304"/>
      <c r="BB52" s="304"/>
      <c r="BC52" s="304"/>
      <c r="BD52" s="304"/>
      <c r="BE52" s="304"/>
    </row>
    <row r="53" spans="2:57" s="31" customFormat="1" ht="15.5" x14ac:dyDescent="0.3">
      <c r="B53" s="9"/>
      <c r="C53" s="34"/>
      <c r="D53" s="84"/>
      <c r="E53" s="34"/>
      <c r="F53" s="34"/>
      <c r="G53" s="38"/>
      <c r="H53" s="84"/>
      <c r="J53" s="33"/>
      <c r="K53" s="38"/>
      <c r="L53" s="38"/>
      <c r="M53" s="86"/>
      <c r="N53" s="86"/>
      <c r="O53" s="86"/>
      <c r="P53" s="38"/>
      <c r="Q53" s="35"/>
      <c r="R53" s="99"/>
      <c r="S53" s="36"/>
      <c r="T53" s="36"/>
      <c r="U53" s="36"/>
      <c r="V53" s="36"/>
      <c r="W53" s="36"/>
      <c r="X53" s="36"/>
      <c r="Y53" s="36"/>
      <c r="Z53" s="36"/>
      <c r="AA53" s="36"/>
      <c r="AB53" s="36"/>
      <c r="AC53" s="36"/>
      <c r="AD53" s="36"/>
      <c r="AE53" s="36"/>
      <c r="AF53" s="36"/>
      <c r="AG53" s="36"/>
      <c r="AH53" s="36"/>
      <c r="AI53" s="36"/>
      <c r="AJ53" s="36"/>
      <c r="AK53" s="36"/>
      <c r="AL53" s="36"/>
      <c r="AM53" s="36"/>
      <c r="AN53" s="37"/>
      <c r="AO53" s="37"/>
      <c r="AP53" s="37"/>
      <c r="AQ53" s="37"/>
      <c r="AR53" s="37"/>
      <c r="AS53" s="37"/>
      <c r="AT53" s="37"/>
      <c r="AU53" s="37"/>
      <c r="AV53" s="37"/>
      <c r="AW53" s="37"/>
      <c r="AX53" s="37"/>
      <c r="AY53" s="37"/>
      <c r="AZ53" s="37"/>
      <c r="BA53" s="37"/>
      <c r="BB53" s="37"/>
      <c r="BC53" s="37"/>
      <c r="BD53" s="37"/>
      <c r="BE53" s="37"/>
    </row>
    <row r="54" spans="2:57" s="31" customFormat="1" ht="15.5" x14ac:dyDescent="0.3">
      <c r="B54" s="155" t="s">
        <v>457</v>
      </c>
      <c r="C54" s="34" t="s">
        <v>50</v>
      </c>
      <c r="D54" s="84"/>
      <c r="E54" s="34"/>
      <c r="F54" s="34"/>
      <c r="G54" s="38" t="s">
        <v>199</v>
      </c>
      <c r="H54" s="84"/>
      <c r="J54" s="33"/>
      <c r="K54" s="38" t="s">
        <v>329</v>
      </c>
      <c r="L54" s="38" t="s">
        <v>201</v>
      </c>
      <c r="M54" s="86"/>
      <c r="N54" s="86"/>
      <c r="O54" s="255" t="s">
        <v>644</v>
      </c>
      <c r="P54" s="38"/>
      <c r="Q54" s="35"/>
      <c r="R54" s="61" t="s">
        <v>350</v>
      </c>
      <c r="S54" s="36"/>
      <c r="T54" s="36" t="s">
        <v>446</v>
      </c>
      <c r="U54" s="36" t="s">
        <v>445</v>
      </c>
      <c r="V54" s="36" t="s">
        <v>443</v>
      </c>
      <c r="W54" s="36" t="s">
        <v>444</v>
      </c>
      <c r="X54" s="36" t="s">
        <v>447</v>
      </c>
      <c r="Y54" s="36" t="s">
        <v>449</v>
      </c>
      <c r="Z54" s="36" t="s">
        <v>448</v>
      </c>
      <c r="AA54" s="36" t="s">
        <v>202</v>
      </c>
      <c r="AB54" s="36" t="s">
        <v>380</v>
      </c>
      <c r="AC54" s="36" t="s">
        <v>450</v>
      </c>
      <c r="AD54" s="36" t="s">
        <v>381</v>
      </c>
      <c r="AE54" s="36" t="s">
        <v>451</v>
      </c>
      <c r="AF54" s="36" t="s">
        <v>452</v>
      </c>
      <c r="AG54" s="36" t="s">
        <v>638</v>
      </c>
      <c r="AH54" s="36" t="s">
        <v>206</v>
      </c>
      <c r="AI54" s="36" t="s">
        <v>278</v>
      </c>
      <c r="AJ54" s="36" t="s">
        <v>207</v>
      </c>
      <c r="AK54" s="108"/>
      <c r="AL54" s="36"/>
      <c r="AM54" s="36"/>
      <c r="AN54" s="37"/>
      <c r="AO54" s="37"/>
      <c r="AP54" s="37"/>
      <c r="AQ54" s="37"/>
      <c r="AR54" s="37"/>
      <c r="AS54" s="37"/>
      <c r="AT54" s="37"/>
      <c r="AU54" s="37"/>
      <c r="AV54" s="37"/>
      <c r="AW54" s="37"/>
      <c r="AX54" s="37"/>
      <c r="AY54" s="37"/>
      <c r="AZ54" s="37"/>
      <c r="BA54" s="37"/>
      <c r="BB54" s="37"/>
      <c r="BC54" s="37"/>
      <c r="BD54" s="37"/>
      <c r="BE54" s="37"/>
    </row>
    <row r="55" spans="2:57" s="31" customFormat="1" ht="46.5" x14ac:dyDescent="0.3">
      <c r="B55" s="170" t="s">
        <v>513</v>
      </c>
      <c r="C55" s="160"/>
      <c r="D55" s="89" t="s">
        <v>175</v>
      </c>
      <c r="E55" s="176"/>
      <c r="F55" s="57"/>
      <c r="G55" s="161"/>
      <c r="H55" s="84" t="str">
        <f>IF(D55="t","t/t","t/m3")</f>
        <v>t/m3</v>
      </c>
      <c r="I55" s="170"/>
      <c r="J55" s="173" t="s">
        <v>441</v>
      </c>
      <c r="K55" s="96">
        <f>IF(ISNUMBER(L55),L55,IF(OR(C56=Pudotusvalikot!$D$14,C56=Pudotusvalikot!$D$15),Kalusto!$G$96,VLOOKUP(C56,Kalusto!$C$44:$G$83,5,FALSE))*IF(OR(C57=Pudotusvalikot!$V$3,C57=Pudotusvalikot!$V$4),Muut!$E$38,IF(C57=Pudotusvalikot!$V$5,Muut!$E$39,IF(C57=Pudotusvalikot!$V$6,Muut!$E$40,Muut!$E$41))))</f>
        <v>6.1090000000000005E-2</v>
      </c>
      <c r="L55" s="40"/>
      <c r="M55" s="41" t="s">
        <v>200</v>
      </c>
      <c r="N55" s="41"/>
      <c r="O55" s="256"/>
      <c r="Q55" s="47"/>
      <c r="R55" s="50" t="str">
        <f ca="1">IF(AND(NOT(ISNUMBER(AB55)),NOT(ISNUMBER(AG55))),"",IF(ISNUMBER(AB55),AB55,0)+IF(ISNUMBER(AG55),AG55,0))</f>
        <v/>
      </c>
      <c r="S55" s="102" t="s">
        <v>172</v>
      </c>
      <c r="T55" s="48" t="str">
        <f>IF(ISNUMBER(L55),"Kohdetieto",IF(OR(C56=Pudotusvalikot!$D$14,C56=Pudotusvalikot!$D$15),Kalusto!$I$96,VLOOKUP(C56,Kalusto!$C$44:$L$83,7,FALSE)))</f>
        <v>Maansiirtoauto</v>
      </c>
      <c r="U55" s="48">
        <f>IF(ISNUMBER(L55),"Kohdetieto",IF(OR(C56=Pudotusvalikot!$D$14,C56=Pudotusvalikot!$D$15),Kalusto!$J$96,VLOOKUP(C56,Kalusto!$C$44:$L$83,8,FALSE)))</f>
        <v>32</v>
      </c>
      <c r="V55" s="49">
        <f>IF(ISNUMBER(L55),"Kohdetieto",IF(OR(C56=Pudotusvalikot!$D$14,C56=Pudotusvalikot!$D$15),Kalusto!$K$96,VLOOKUP(C56,Kalusto!$C$44:$L$83,9,FALSE)))</f>
        <v>0.8</v>
      </c>
      <c r="W55" s="49" t="str">
        <f>IF(ISNUMBER(L55),"Kohdetieto",IF(OR(C56=Pudotusvalikot!$D$14,C56=Pudotusvalikot!$D$15),Kalusto!$L$96,VLOOKUP(C56,Kalusto!$C$44:$L$83,10,FALSE)))</f>
        <v>maantieajo</v>
      </c>
      <c r="X55" s="50" t="str">
        <f>IF(ISBLANK(C55),"",IF(D55="t",C55,C55*G55))</f>
        <v/>
      </c>
      <c r="Y55" s="48" t="str">
        <f>IF(ISNUMBER(C58),C58,"")</f>
        <v/>
      </c>
      <c r="Z55" s="50" t="str">
        <f>IF(ISNUMBER(X55/(U55*V55)*Y55),X55/(U55*V55)*Y55,"")</f>
        <v/>
      </c>
      <c r="AA55" s="51">
        <f>IF(ISNUMBER(L55),L55,K55)</f>
        <v>6.1090000000000005E-2</v>
      </c>
      <c r="AB55" s="50" t="str">
        <f>IF(ISNUMBER(Y55*X55*K55),Y55*X55*K55,"")</f>
        <v/>
      </c>
      <c r="AC55" s="50" t="str">
        <f>IF(C80="Kyllä",Y55,"")</f>
        <v/>
      </c>
      <c r="AD55" s="50" t="str">
        <f>IF(C80="Kyllä",IF(ISNUMBER(X55/(U55*V55)),X55/(U55*V55),""),"")</f>
        <v/>
      </c>
      <c r="AE55" s="50" t="str">
        <f>IF(ISNUMBER(AD55*AC55),AD55*AC55,"")</f>
        <v/>
      </c>
      <c r="AF55" s="51">
        <f ca="1">IF(ISNUMBER(L56),L56,K56)</f>
        <v>0.71940999999999999</v>
      </c>
      <c r="AG55" s="50" t="str">
        <f ca="1">IF(ISNUMBER(AC55*AD55*K56),AC55*AD55*K56,"")</f>
        <v/>
      </c>
      <c r="AH55" s="48">
        <f>IF(T55="Jakelukuorma-auto",0,IF(T55="Maansiirtoauto",4,IF(T55="Puoliperävaunu",6,8)))</f>
        <v>4</v>
      </c>
      <c r="AI55" s="48">
        <f>IF(AND(T55="Jakelukuorma-auto",U55=6),0,IF(AND(T55="Jakelukuorma-auto",U55=15),2,0))</f>
        <v>0</v>
      </c>
      <c r="AJ55" s="48">
        <f>IF(W55="maantieajo",0,1)</f>
        <v>0</v>
      </c>
      <c r="AK55" s="108"/>
      <c r="AL55" s="36"/>
      <c r="AM55" s="36"/>
      <c r="AN55" s="37"/>
      <c r="AO55" s="37"/>
      <c r="AP55" s="37"/>
      <c r="AQ55" s="37"/>
      <c r="AR55" s="37"/>
      <c r="AS55" s="37"/>
      <c r="AT55" s="37"/>
      <c r="AU55" s="37"/>
      <c r="AV55" s="37"/>
      <c r="AW55" s="37"/>
      <c r="AX55" s="37"/>
      <c r="AY55" s="37"/>
      <c r="AZ55" s="37"/>
      <c r="BA55" s="37"/>
      <c r="BB55" s="37"/>
      <c r="BC55" s="37"/>
      <c r="BD55" s="37"/>
      <c r="BE55" s="37"/>
    </row>
    <row r="56" spans="2:57" s="31" customFormat="1" ht="46.5" x14ac:dyDescent="0.3">
      <c r="B56" s="170" t="s">
        <v>512</v>
      </c>
      <c r="C56" s="392" t="s">
        <v>84</v>
      </c>
      <c r="D56" s="393"/>
      <c r="E56" s="393"/>
      <c r="F56" s="393"/>
      <c r="G56" s="394"/>
      <c r="H56" s="54"/>
      <c r="J56" s="33" t="s">
        <v>442</v>
      </c>
      <c r="K56" s="96">
        <f ca="1">IF(ISNUMBER(L56),L56,IF($C$109="Ei","",IF(AND($C$109="Kyllä",OR(C56=Pudotusvalikot!$D$14,C56=Pudotusvalikot!$D$15)),Kalusto!$G$97,OFFSET(Kalusto!$G$85,AH55+AJ55+AI55,0,1,1)))*IF(OR(C57=Pudotusvalikot!$V$3,C57=Pudotusvalikot!$V$4),Muut!$E$38,IF(C57=Pudotusvalikot!$V$5,Muut!$E$39,IF(C57=Pudotusvalikot!$V$6,Muut!$E$40,Muut!$E$41))))</f>
        <v>0.71940999999999999</v>
      </c>
      <c r="L56" s="40"/>
      <c r="M56" s="41" t="s">
        <v>204</v>
      </c>
      <c r="N56" s="41"/>
      <c r="O56" s="265"/>
      <c r="P56" s="34"/>
      <c r="Q56" s="52"/>
      <c r="R56" s="36"/>
      <c r="S56" s="36"/>
      <c r="T56" s="36"/>
      <c r="U56" s="36"/>
      <c r="V56" s="36"/>
      <c r="W56" s="36"/>
      <c r="X56" s="36"/>
      <c r="Y56" s="36"/>
      <c r="Z56" s="36"/>
      <c r="AA56" s="36"/>
      <c r="AB56" s="36"/>
      <c r="AC56" s="36"/>
      <c r="AD56" s="36"/>
      <c r="AE56" s="36"/>
      <c r="AF56" s="36"/>
      <c r="AG56" s="36"/>
      <c r="AH56" s="36"/>
      <c r="AI56" s="36"/>
      <c r="AJ56" s="36"/>
      <c r="AK56" s="108"/>
      <c r="AL56" s="36"/>
      <c r="AM56" s="36"/>
      <c r="AN56" s="37"/>
      <c r="AO56" s="37"/>
      <c r="AP56" s="37"/>
      <c r="AQ56" s="37"/>
      <c r="AR56" s="37"/>
      <c r="AS56" s="37"/>
      <c r="AT56" s="37"/>
      <c r="AU56" s="37"/>
      <c r="AV56" s="37"/>
      <c r="AW56" s="37"/>
      <c r="AX56" s="37"/>
      <c r="AY56" s="37"/>
      <c r="AZ56" s="37"/>
      <c r="BA56" s="37"/>
      <c r="BB56" s="37"/>
      <c r="BC56" s="37"/>
      <c r="BD56" s="37"/>
      <c r="BE56" s="37"/>
    </row>
    <row r="57" spans="2:57" s="31" customFormat="1" ht="15.5" x14ac:dyDescent="0.3">
      <c r="B57" s="186" t="s">
        <v>506</v>
      </c>
      <c r="C57" s="160" t="s">
        <v>242</v>
      </c>
      <c r="D57" s="34"/>
      <c r="E57" s="34"/>
      <c r="F57" s="34"/>
      <c r="G57" s="34"/>
      <c r="H57" s="59"/>
      <c r="J57" s="173"/>
      <c r="K57" s="173"/>
      <c r="L57" s="173"/>
      <c r="M57" s="41"/>
      <c r="N57" s="41"/>
      <c r="O57" s="265"/>
      <c r="Q57" s="47"/>
      <c r="R57" s="102"/>
      <c r="S57" s="102"/>
      <c r="T57" s="36"/>
      <c r="U57" s="36"/>
      <c r="V57" s="181"/>
      <c r="W57" s="181"/>
      <c r="X57" s="61"/>
      <c r="Y57" s="36"/>
      <c r="Z57" s="61"/>
      <c r="AA57" s="182"/>
      <c r="AB57" s="61"/>
      <c r="AC57" s="61"/>
      <c r="AD57" s="61"/>
      <c r="AE57" s="61"/>
      <c r="AF57" s="182"/>
      <c r="AG57" s="61"/>
      <c r="AH57" s="36"/>
      <c r="AI57" s="36"/>
      <c r="AJ57" s="36"/>
      <c r="AK57" s="108"/>
      <c r="AL57" s="36"/>
      <c r="AM57" s="36"/>
      <c r="AN57" s="37"/>
      <c r="AO57" s="37"/>
      <c r="AP57" s="37"/>
      <c r="AQ57" s="37"/>
      <c r="AR57" s="37"/>
      <c r="AS57" s="37"/>
      <c r="AT57" s="37"/>
      <c r="AU57" s="37"/>
      <c r="AV57" s="37"/>
      <c r="AW57" s="37"/>
      <c r="AX57" s="37"/>
      <c r="AY57" s="37"/>
      <c r="AZ57" s="37"/>
      <c r="BA57" s="37"/>
      <c r="BB57" s="37"/>
      <c r="BC57" s="37"/>
      <c r="BD57" s="37"/>
      <c r="BE57" s="37"/>
    </row>
    <row r="58" spans="2:57" s="31" customFormat="1" ht="15.5" x14ac:dyDescent="0.3">
      <c r="B58" s="45" t="s">
        <v>514</v>
      </c>
      <c r="C58" s="160"/>
      <c r="D58" s="84" t="s">
        <v>5</v>
      </c>
      <c r="G58" s="34"/>
      <c r="H58" s="54"/>
      <c r="J58" s="53"/>
      <c r="K58" s="34"/>
      <c r="L58" s="34"/>
      <c r="M58" s="84"/>
      <c r="N58" s="84"/>
      <c r="O58" s="100"/>
      <c r="P58" s="53"/>
      <c r="Q58" s="52"/>
      <c r="R58" s="36"/>
      <c r="S58" s="36"/>
      <c r="T58" s="36"/>
      <c r="U58" s="36"/>
      <c r="V58" s="36"/>
      <c r="W58" s="36"/>
      <c r="X58" s="36"/>
      <c r="Y58" s="36"/>
      <c r="Z58" s="36"/>
      <c r="AA58" s="36"/>
      <c r="AB58" s="36"/>
      <c r="AC58" s="36"/>
      <c r="AD58" s="36"/>
      <c r="AE58" s="36"/>
      <c r="AF58" s="36"/>
      <c r="AG58" s="36"/>
      <c r="AH58" s="36"/>
      <c r="AI58" s="36"/>
      <c r="AJ58" s="36"/>
      <c r="AK58" s="108"/>
      <c r="AL58" s="36"/>
      <c r="AM58" s="36"/>
      <c r="AN58" s="37"/>
      <c r="AO58" s="37"/>
      <c r="AP58" s="37"/>
      <c r="AQ58" s="37"/>
      <c r="AR58" s="37"/>
      <c r="AS58" s="37"/>
      <c r="AT58" s="37"/>
      <c r="AU58" s="37"/>
      <c r="AV58" s="37"/>
      <c r="AW58" s="37"/>
      <c r="AX58" s="37"/>
      <c r="AY58" s="37"/>
      <c r="AZ58" s="37"/>
      <c r="BA58" s="37"/>
      <c r="BB58" s="37"/>
      <c r="BC58" s="37"/>
      <c r="BD58" s="37"/>
      <c r="BE58" s="37"/>
    </row>
    <row r="59" spans="2:57" s="31" customFormat="1" ht="15.5" x14ac:dyDescent="0.3">
      <c r="B59" s="155" t="s">
        <v>458</v>
      </c>
      <c r="C59" s="34"/>
      <c r="D59" s="84"/>
      <c r="G59" s="34"/>
      <c r="H59" s="84"/>
      <c r="J59" s="33"/>
      <c r="K59" s="38" t="s">
        <v>329</v>
      </c>
      <c r="L59" s="38" t="s">
        <v>201</v>
      </c>
      <c r="M59" s="84"/>
      <c r="N59" s="84"/>
      <c r="O59" s="100"/>
      <c r="P59" s="34"/>
      <c r="Q59" s="35"/>
      <c r="R59" s="61" t="s">
        <v>350</v>
      </c>
      <c r="S59" s="36"/>
      <c r="T59" s="36" t="s">
        <v>446</v>
      </c>
      <c r="U59" s="36" t="s">
        <v>445</v>
      </c>
      <c r="V59" s="36" t="s">
        <v>443</v>
      </c>
      <c r="W59" s="36" t="s">
        <v>444</v>
      </c>
      <c r="X59" s="36" t="s">
        <v>447</v>
      </c>
      <c r="Y59" s="36" t="s">
        <v>449</v>
      </c>
      <c r="Z59" s="36" t="s">
        <v>448</v>
      </c>
      <c r="AA59" s="36" t="s">
        <v>202</v>
      </c>
      <c r="AB59" s="36" t="s">
        <v>380</v>
      </c>
      <c r="AC59" s="36" t="s">
        <v>450</v>
      </c>
      <c r="AD59" s="36" t="s">
        <v>381</v>
      </c>
      <c r="AE59" s="36" t="s">
        <v>451</v>
      </c>
      <c r="AF59" s="36" t="s">
        <v>452</v>
      </c>
      <c r="AG59" s="36" t="s">
        <v>638</v>
      </c>
      <c r="AH59" s="36" t="s">
        <v>206</v>
      </c>
      <c r="AI59" s="36" t="s">
        <v>278</v>
      </c>
      <c r="AJ59" s="36" t="s">
        <v>207</v>
      </c>
      <c r="AK59" s="108"/>
      <c r="AL59" s="36"/>
      <c r="AM59" s="36"/>
      <c r="AN59" s="37"/>
      <c r="AO59" s="37"/>
      <c r="AP59" s="37"/>
      <c r="AQ59" s="37"/>
      <c r="AR59" s="37"/>
      <c r="AS59" s="37"/>
      <c r="AT59" s="37"/>
      <c r="AU59" s="37"/>
      <c r="AV59" s="37"/>
      <c r="AW59" s="37"/>
      <c r="AX59" s="37"/>
      <c r="AY59" s="37"/>
      <c r="AZ59" s="37"/>
      <c r="BA59" s="37"/>
      <c r="BB59" s="37"/>
      <c r="BC59" s="37"/>
      <c r="BD59" s="37"/>
      <c r="BE59" s="37"/>
    </row>
    <row r="60" spans="2:57" s="31" customFormat="1" ht="46.5" x14ac:dyDescent="0.3">
      <c r="B60" s="170" t="s">
        <v>513</v>
      </c>
      <c r="C60" s="161"/>
      <c r="D60" s="89" t="s">
        <v>175</v>
      </c>
      <c r="E60" s="176"/>
      <c r="F60" s="57"/>
      <c r="G60" s="161"/>
      <c r="H60" s="84" t="str">
        <f>IF(D60="t","t/t","t/m3")</f>
        <v>t/m3</v>
      </c>
      <c r="J60" s="173" t="s">
        <v>441</v>
      </c>
      <c r="K60" s="96">
        <f>IF(ISNUMBER(L60),L60,IF(OR(C61=Pudotusvalikot!$D$14,C61=Pudotusvalikot!$D$15),Kalusto!$G$96,VLOOKUP(C61,Kalusto!$C$44:$G$83,5,FALSE))*IF(OR(C62=Pudotusvalikot!$V$3,C62=Pudotusvalikot!$V$4),Muut!$E$38,IF(C62=Pudotusvalikot!$V$5,Muut!$E$39,IF(C57=Pudotusvalikot!$V$6,Muut!$E$40,Muut!$E$41))))</f>
        <v>6.1090000000000005E-2</v>
      </c>
      <c r="L60" s="40"/>
      <c r="M60" s="41" t="s">
        <v>200</v>
      </c>
      <c r="N60" s="41"/>
      <c r="O60" s="265"/>
      <c r="Q60" s="47"/>
      <c r="R60" s="50" t="str">
        <f ca="1">IF(AND(NOT(ISNUMBER(AB60)),NOT(ISNUMBER(AG60))),"",IF(ISNUMBER(AB60),AB60,0)+IF(ISNUMBER(AG60),AG60,0))</f>
        <v/>
      </c>
      <c r="S60" s="102" t="s">
        <v>172</v>
      </c>
      <c r="T60" s="48" t="str">
        <f>IF(ISNUMBER(L60),"Kohdetieto",IF(OR(C61=Pudotusvalikot!$D$14,C61=Pudotusvalikot!$D$15),Kalusto!$I$96,VLOOKUP(C61,Kalusto!$C$44:$L$83,7,FALSE)))</f>
        <v>Maansiirtoauto</v>
      </c>
      <c r="U60" s="48">
        <f>IF(ISNUMBER(L60),"Kohdetieto",IF(OR(C61=Pudotusvalikot!$D$14,C61=Pudotusvalikot!$D$15),Kalusto!$J$96,VLOOKUP(C61,Kalusto!$C$44:$L$83,8,FALSE)))</f>
        <v>32</v>
      </c>
      <c r="V60" s="49">
        <f>IF(ISNUMBER(L60),"Kohdetieto",IF(OR(C61=Pudotusvalikot!$D$14,C61=Pudotusvalikot!$D$15),Kalusto!$K$96,VLOOKUP(C61,Kalusto!$C$44:$L$83,9,FALSE)))</f>
        <v>0.8</v>
      </c>
      <c r="W60" s="49" t="str">
        <f>IF(ISNUMBER(L60),"Kohdetieto",IF(OR(C61=Pudotusvalikot!$D$14,C61=Pudotusvalikot!$D$15),Kalusto!$L$96,VLOOKUP(C61,Kalusto!$C$44:$L$83,10,FALSE)))</f>
        <v>maantieajo</v>
      </c>
      <c r="X60" s="50" t="str">
        <f>IF(ISBLANK(C60),"",IF(D60="t",C60,C60*G60))</f>
        <v/>
      </c>
      <c r="Y60" s="48" t="str">
        <f>IF(ISNUMBER(C63),C63,"")</f>
        <v/>
      </c>
      <c r="Z60" s="50" t="str">
        <f>IF(ISNUMBER(X60/(U60*V60)*Y60),X60/(U60*V60)*Y60,"")</f>
        <v/>
      </c>
      <c r="AA60" s="51">
        <f>IF(ISNUMBER(L60),L60,K60)</f>
        <v>6.1090000000000005E-2</v>
      </c>
      <c r="AB60" s="50" t="str">
        <f>IF(ISNUMBER(Y60*X60*K60),Y60*X60*K60,"")</f>
        <v/>
      </c>
      <c r="AC60" s="50" t="str">
        <f>IF(C80="Kyllä",Y60,"")</f>
        <v/>
      </c>
      <c r="AD60" s="50" t="str">
        <f>IF(C80="Kyllä",IF(ISNUMBER(X60/(U60*V60)),X60/(U60*V60),""),"")</f>
        <v/>
      </c>
      <c r="AE60" s="50" t="str">
        <f>IF(ISNUMBER(AD60*AC60),AD60*AC60,"")</f>
        <v/>
      </c>
      <c r="AF60" s="51">
        <f ca="1">IF(ISNUMBER(L61),L61,K61)</f>
        <v>0.71940999999999999</v>
      </c>
      <c r="AG60" s="50" t="str">
        <f ca="1">IF(ISNUMBER(AC60*AD60*K61),AC60*AD60*K61,"")</f>
        <v/>
      </c>
      <c r="AH60" s="48">
        <f>IF(T60="Jakelukuorma-auto",0,IF(T60="Maansiirtoauto",4,IF(T60="Puoliperävaunu",6,8)))</f>
        <v>4</v>
      </c>
      <c r="AI60" s="48">
        <f>IF(AND(T60="Jakelukuorma-auto",U60=6),0,IF(AND(T60="Jakelukuorma-auto",U60=15),2,0))</f>
        <v>0</v>
      </c>
      <c r="AJ60" s="48">
        <f>IF(W60="maantieajo",0,1)</f>
        <v>0</v>
      </c>
      <c r="AK60" s="108"/>
      <c r="AL60" s="36"/>
      <c r="AM60" s="36"/>
      <c r="AN60" s="37"/>
      <c r="AO60" s="37"/>
      <c r="AP60" s="37"/>
      <c r="AQ60" s="37"/>
      <c r="AR60" s="37"/>
      <c r="AS60" s="37"/>
      <c r="AT60" s="37"/>
      <c r="AU60" s="37"/>
      <c r="AV60" s="37"/>
      <c r="AW60" s="37"/>
      <c r="AX60" s="37"/>
      <c r="AY60" s="37"/>
      <c r="AZ60" s="37"/>
      <c r="BA60" s="37"/>
      <c r="BB60" s="37"/>
      <c r="BC60" s="37"/>
      <c r="BD60" s="37"/>
      <c r="BE60" s="37"/>
    </row>
    <row r="61" spans="2:57" s="31" customFormat="1" ht="46.5" x14ac:dyDescent="0.3">
      <c r="B61" s="170" t="s">
        <v>512</v>
      </c>
      <c r="C61" s="392" t="s">
        <v>84</v>
      </c>
      <c r="D61" s="393"/>
      <c r="E61" s="393"/>
      <c r="F61" s="393"/>
      <c r="G61" s="394"/>
      <c r="H61" s="84"/>
      <c r="J61" s="33" t="s">
        <v>442</v>
      </c>
      <c r="K61" s="96">
        <f ca="1">IF(ISNUMBER(L61),L61,IF($C$109="Ei","",IF(AND($C$109="Kyllä",OR(C61=Pudotusvalikot!$D$14,C61=Pudotusvalikot!$D$15)),Kalusto!$G$97,OFFSET(Kalusto!$G$85,AH60+AJ60+AI60,0,1,1)))*IF(OR(C62=Pudotusvalikot!$V$3,C62=Pudotusvalikot!$V$4),Muut!$E$38,IF(C62=Pudotusvalikot!$V$5,Muut!$E$39,IF(C57=Pudotusvalikot!$V$6,Muut!$E$40,Muut!$E$41))))</f>
        <v>0.71940999999999999</v>
      </c>
      <c r="L61" s="40"/>
      <c r="M61" s="41" t="s">
        <v>204</v>
      </c>
      <c r="N61" s="41"/>
      <c r="O61" s="265"/>
      <c r="P61" s="34"/>
      <c r="Q61" s="52"/>
      <c r="R61" s="36"/>
      <c r="S61" s="36"/>
      <c r="T61" s="36"/>
      <c r="U61" s="36"/>
      <c r="V61" s="36"/>
      <c r="W61" s="36"/>
      <c r="X61" s="36"/>
      <c r="Y61" s="36"/>
      <c r="Z61" s="36"/>
      <c r="AA61" s="36"/>
      <c r="AB61" s="36"/>
      <c r="AC61" s="36"/>
      <c r="AD61" s="36"/>
      <c r="AE61" s="36"/>
      <c r="AF61" s="36"/>
      <c r="AG61" s="36"/>
      <c r="AH61" s="36"/>
      <c r="AI61" s="36"/>
      <c r="AJ61" s="36"/>
      <c r="AK61" s="108"/>
      <c r="AL61" s="36"/>
      <c r="AM61" s="36"/>
      <c r="AN61" s="37"/>
      <c r="AO61" s="37"/>
      <c r="AP61" s="37"/>
      <c r="AQ61" s="37"/>
      <c r="AR61" s="37"/>
      <c r="AS61" s="37"/>
      <c r="AT61" s="37"/>
      <c r="AU61" s="37"/>
      <c r="AV61" s="37"/>
      <c r="AW61" s="37"/>
      <c r="AX61" s="37"/>
      <c r="AY61" s="37"/>
      <c r="AZ61" s="37"/>
      <c r="BA61" s="37"/>
      <c r="BB61" s="37"/>
      <c r="BC61" s="37"/>
      <c r="BD61" s="37"/>
      <c r="BE61" s="37"/>
    </row>
    <row r="62" spans="2:57" s="31" customFormat="1" ht="15.5" x14ac:dyDescent="0.3">
      <c r="B62" s="186" t="s">
        <v>506</v>
      </c>
      <c r="C62" s="160" t="s">
        <v>242</v>
      </c>
      <c r="D62" s="34"/>
      <c r="E62" s="34"/>
      <c r="F62" s="34"/>
      <c r="G62" s="34"/>
      <c r="H62" s="59"/>
      <c r="J62" s="173"/>
      <c r="K62" s="173"/>
      <c r="L62" s="173"/>
      <c r="M62" s="41"/>
      <c r="N62" s="41"/>
      <c r="O62" s="265"/>
      <c r="Q62" s="47"/>
      <c r="R62" s="102"/>
      <c r="S62" s="102"/>
      <c r="T62" s="36"/>
      <c r="U62" s="36"/>
      <c r="V62" s="181"/>
      <c r="W62" s="181"/>
      <c r="X62" s="61"/>
      <c r="Y62" s="36"/>
      <c r="Z62" s="61"/>
      <c r="AA62" s="182"/>
      <c r="AB62" s="61"/>
      <c r="AC62" s="61"/>
      <c r="AD62" s="61"/>
      <c r="AE62" s="61"/>
      <c r="AF62" s="182"/>
      <c r="AG62" s="61"/>
      <c r="AH62" s="36"/>
      <c r="AI62" s="36"/>
      <c r="AJ62" s="36"/>
      <c r="AK62" s="108"/>
      <c r="AL62" s="36"/>
      <c r="AM62" s="36"/>
      <c r="AN62" s="37"/>
      <c r="AO62" s="37"/>
      <c r="AP62" s="37"/>
      <c r="AQ62" s="37"/>
      <c r="AR62" s="37"/>
      <c r="AS62" s="37"/>
      <c r="AT62" s="37"/>
      <c r="AU62" s="37"/>
      <c r="AV62" s="37"/>
      <c r="AW62" s="37"/>
      <c r="AX62" s="37"/>
      <c r="AY62" s="37"/>
      <c r="AZ62" s="37"/>
      <c r="BA62" s="37"/>
      <c r="BB62" s="37"/>
      <c r="BC62" s="37"/>
      <c r="BD62" s="37"/>
      <c r="BE62" s="37"/>
    </row>
    <row r="63" spans="2:57" s="31" customFormat="1" ht="15.5" x14ac:dyDescent="0.3">
      <c r="B63" s="45" t="s">
        <v>514</v>
      </c>
      <c r="C63" s="162"/>
      <c r="D63" s="84" t="s">
        <v>5</v>
      </c>
      <c r="G63" s="34"/>
      <c r="H63" s="84"/>
      <c r="J63" s="53"/>
      <c r="K63" s="34"/>
      <c r="L63" s="34"/>
      <c r="M63" s="84"/>
      <c r="N63" s="84"/>
      <c r="O63" s="100"/>
      <c r="P63" s="53"/>
      <c r="Q63" s="52"/>
      <c r="R63" s="36"/>
      <c r="S63" s="36"/>
      <c r="T63" s="36"/>
      <c r="U63" s="36"/>
      <c r="V63" s="36"/>
      <c r="W63" s="36"/>
      <c r="X63" s="36"/>
      <c r="Y63" s="36"/>
      <c r="Z63" s="36"/>
      <c r="AA63" s="36"/>
      <c r="AB63" s="36"/>
      <c r="AC63" s="36"/>
      <c r="AD63" s="36"/>
      <c r="AE63" s="36"/>
      <c r="AF63" s="36"/>
      <c r="AG63" s="36"/>
      <c r="AH63" s="36"/>
      <c r="AI63" s="36"/>
      <c r="AJ63" s="36"/>
      <c r="AK63" s="108"/>
      <c r="AL63" s="36"/>
      <c r="AM63" s="36"/>
      <c r="AN63" s="37"/>
      <c r="AO63" s="37"/>
      <c r="AP63" s="37"/>
      <c r="AQ63" s="37"/>
      <c r="AR63" s="37"/>
      <c r="AS63" s="37"/>
      <c r="AT63" s="37"/>
      <c r="AU63" s="37"/>
      <c r="AV63" s="37"/>
      <c r="AW63" s="37"/>
      <c r="AX63" s="37"/>
      <c r="AY63" s="37"/>
      <c r="AZ63" s="37"/>
      <c r="BA63" s="37"/>
      <c r="BB63" s="37"/>
      <c r="BC63" s="37"/>
      <c r="BD63" s="37"/>
      <c r="BE63" s="37"/>
    </row>
    <row r="64" spans="2:57" s="31" customFormat="1" ht="15.5" x14ac:dyDescent="0.3">
      <c r="B64" s="155" t="s">
        <v>459</v>
      </c>
      <c r="C64" s="34"/>
      <c r="D64" s="84"/>
      <c r="G64" s="34"/>
      <c r="H64" s="84"/>
      <c r="J64" s="33"/>
      <c r="K64" s="38" t="s">
        <v>329</v>
      </c>
      <c r="L64" s="38" t="s">
        <v>201</v>
      </c>
      <c r="M64" s="84"/>
      <c r="N64" s="84"/>
      <c r="O64" s="100"/>
      <c r="P64" s="34"/>
      <c r="Q64" s="35"/>
      <c r="R64" s="61" t="s">
        <v>350</v>
      </c>
      <c r="S64" s="36"/>
      <c r="T64" s="36" t="s">
        <v>446</v>
      </c>
      <c r="U64" s="36" t="s">
        <v>445</v>
      </c>
      <c r="V64" s="36" t="s">
        <v>443</v>
      </c>
      <c r="W64" s="36" t="s">
        <v>444</v>
      </c>
      <c r="X64" s="36" t="s">
        <v>447</v>
      </c>
      <c r="Y64" s="36" t="s">
        <v>449</v>
      </c>
      <c r="Z64" s="36" t="s">
        <v>448</v>
      </c>
      <c r="AA64" s="36" t="s">
        <v>202</v>
      </c>
      <c r="AB64" s="36" t="s">
        <v>380</v>
      </c>
      <c r="AC64" s="36" t="s">
        <v>450</v>
      </c>
      <c r="AD64" s="36" t="s">
        <v>381</v>
      </c>
      <c r="AE64" s="36" t="s">
        <v>451</v>
      </c>
      <c r="AF64" s="36" t="s">
        <v>452</v>
      </c>
      <c r="AG64" s="36" t="s">
        <v>638</v>
      </c>
      <c r="AH64" s="36" t="s">
        <v>206</v>
      </c>
      <c r="AI64" s="36" t="s">
        <v>278</v>
      </c>
      <c r="AJ64" s="36" t="s">
        <v>207</v>
      </c>
      <c r="AK64" s="108"/>
      <c r="AL64" s="36"/>
      <c r="AM64" s="36"/>
      <c r="AN64" s="37"/>
      <c r="AO64" s="37"/>
      <c r="AP64" s="37"/>
      <c r="AQ64" s="37"/>
      <c r="AR64" s="37"/>
      <c r="AS64" s="37"/>
      <c r="AT64" s="37"/>
      <c r="AU64" s="37"/>
      <c r="AV64" s="37"/>
      <c r="AW64" s="37"/>
      <c r="AX64" s="37"/>
      <c r="AY64" s="37"/>
      <c r="AZ64" s="37"/>
      <c r="BA64" s="37"/>
      <c r="BB64" s="37"/>
      <c r="BC64" s="37"/>
      <c r="BD64" s="37"/>
      <c r="BE64" s="37"/>
    </row>
    <row r="65" spans="2:57" s="31" customFormat="1" ht="46.5" x14ac:dyDescent="0.3">
      <c r="B65" s="170" t="s">
        <v>513</v>
      </c>
      <c r="C65" s="161"/>
      <c r="D65" s="89" t="s">
        <v>175</v>
      </c>
      <c r="E65" s="176"/>
      <c r="F65" s="57"/>
      <c r="G65" s="161"/>
      <c r="H65" s="84" t="str">
        <f>IF(D65="t","t/t","t/m3")</f>
        <v>t/m3</v>
      </c>
      <c r="J65" s="173" t="s">
        <v>441</v>
      </c>
      <c r="K65" s="96">
        <f>IF(ISNUMBER(L65),L65,IF(OR(C66=Pudotusvalikot!$D$14,C66=Pudotusvalikot!$D$15),Kalusto!$G$96,VLOOKUP(C66,Kalusto!$C$44:$G$83,5,FALSE))*IF(OR(C67=Pudotusvalikot!$V$3,C67=Pudotusvalikot!$V$4),Muut!$E$38,IF(C67=Pudotusvalikot!$V$5,Muut!$E$39,IF(C67=Pudotusvalikot!$V$6,Muut!$E$40,Muut!$E$41))))</f>
        <v>6.1090000000000005E-2</v>
      </c>
      <c r="L65" s="40"/>
      <c r="M65" s="41" t="s">
        <v>200</v>
      </c>
      <c r="N65" s="41"/>
      <c r="O65" s="265"/>
      <c r="Q65" s="47"/>
      <c r="R65" s="50" t="str">
        <f ca="1">IF(AND(NOT(ISNUMBER(AB65)),NOT(ISNUMBER(AG65))),"",IF(ISNUMBER(AB65),AB65,0)+IF(ISNUMBER(AG65),AG65,0))</f>
        <v/>
      </c>
      <c r="S65" s="102" t="s">
        <v>172</v>
      </c>
      <c r="T65" s="48" t="str">
        <f>IF(ISNUMBER(L65),"Kohdetieto",IF(OR(C66=Pudotusvalikot!$D$14,C66=Pudotusvalikot!$D$15),Kalusto!$I$96,VLOOKUP(C66,Kalusto!$C$44:$L$83,7,FALSE)))</f>
        <v>Maansiirtoauto</v>
      </c>
      <c r="U65" s="48">
        <f>IF(ISNUMBER(L65),"Kohdetieto",IF(OR(C66=Pudotusvalikot!$D$14,C66=Pudotusvalikot!$D$15),Kalusto!$J$96,VLOOKUP(C66,Kalusto!$C$44:$L$83,8,FALSE)))</f>
        <v>32</v>
      </c>
      <c r="V65" s="49">
        <f>IF(ISNUMBER(L65),"Kohdetieto",IF(OR(C66=Pudotusvalikot!$D$14,C66=Pudotusvalikot!$D$15),Kalusto!$K$96,VLOOKUP(C66,Kalusto!$C$44:$L$83,9,FALSE)))</f>
        <v>0.8</v>
      </c>
      <c r="W65" s="49" t="str">
        <f>IF(ISNUMBER(L65),"Kohdetieto",IF(OR(C66=Pudotusvalikot!$D$14,C66=Pudotusvalikot!$D$15),Kalusto!$L$96,VLOOKUP(C66,Kalusto!$C$44:$L$83,10,FALSE)))</f>
        <v>maantieajo</v>
      </c>
      <c r="X65" s="50" t="str">
        <f>IF(ISBLANK(C65),"",IF(D65="t",C65,C65*G65))</f>
        <v/>
      </c>
      <c r="Y65" s="48" t="str">
        <f>IF(ISNUMBER(C68),C68,"")</f>
        <v/>
      </c>
      <c r="Z65" s="50" t="str">
        <f>IF(ISNUMBER(X65/(U65*V65)*Y65),X65/(U65*V65)*Y65,"")</f>
        <v/>
      </c>
      <c r="AA65" s="51">
        <f>IF(ISNUMBER(L65),L65,K65)</f>
        <v>6.1090000000000005E-2</v>
      </c>
      <c r="AB65" s="50" t="str">
        <f>IF(ISNUMBER(Y65*X65*K65),Y65*X65*K65,"")</f>
        <v/>
      </c>
      <c r="AC65" s="50" t="str">
        <f>IF(C80="Kyllä",Y65,"")</f>
        <v/>
      </c>
      <c r="AD65" s="50" t="str">
        <f>IF(C80="Kyllä",IF(ISNUMBER(X65/(U65*V65)),X65/(U65*V65),""),"")</f>
        <v/>
      </c>
      <c r="AE65" s="50" t="str">
        <f>IF(ISNUMBER(AD65*AC65),AD65*AC65,"")</f>
        <v/>
      </c>
      <c r="AF65" s="51">
        <f ca="1">IF(ISNUMBER(L66),L66,K66)</f>
        <v>0.71940999999999999</v>
      </c>
      <c r="AG65" s="50" t="str">
        <f ca="1">IF(ISNUMBER(AC65*AD65*K66),AC65*AD65*K66,"")</f>
        <v/>
      </c>
      <c r="AH65" s="48">
        <f>IF(T65="Jakelukuorma-auto",0,IF(T65="Maansiirtoauto",4,IF(T65="Puoliperävaunu",6,8)))</f>
        <v>4</v>
      </c>
      <c r="AI65" s="48">
        <f>IF(AND(T65="Jakelukuorma-auto",U65=6),0,IF(AND(T65="Jakelukuorma-auto",U65=15),2,0))</f>
        <v>0</v>
      </c>
      <c r="AJ65" s="48">
        <f>IF(W65="maantieajo",0,1)</f>
        <v>0</v>
      </c>
      <c r="AK65" s="108"/>
      <c r="AL65" s="36"/>
      <c r="AM65" s="36"/>
      <c r="AN65" s="37"/>
      <c r="AO65" s="37"/>
      <c r="AP65" s="37"/>
      <c r="AQ65" s="37"/>
      <c r="AR65" s="37"/>
      <c r="AS65" s="37"/>
      <c r="AT65" s="37"/>
      <c r="AU65" s="37"/>
      <c r="AV65" s="37"/>
      <c r="AW65" s="37"/>
      <c r="AX65" s="37"/>
      <c r="AY65" s="37"/>
      <c r="AZ65" s="37"/>
      <c r="BA65" s="37"/>
      <c r="BB65" s="37"/>
      <c r="BC65" s="37"/>
      <c r="BD65" s="37"/>
      <c r="BE65" s="37"/>
    </row>
    <row r="66" spans="2:57" s="31" customFormat="1" ht="46.5" x14ac:dyDescent="0.3">
      <c r="B66" s="170" t="s">
        <v>512</v>
      </c>
      <c r="C66" s="392" t="s">
        <v>84</v>
      </c>
      <c r="D66" s="393"/>
      <c r="E66" s="393"/>
      <c r="F66" s="393"/>
      <c r="G66" s="394"/>
      <c r="H66" s="84"/>
      <c r="J66" s="33" t="s">
        <v>442</v>
      </c>
      <c r="K66" s="96">
        <f ca="1">IF(ISNUMBER(L66),L66,IF($C$109="Ei","",IF(AND($C$109="Kyllä",OR(C66=Pudotusvalikot!$D$14,C66=Pudotusvalikot!$D$15)),Kalusto!$G$97,OFFSET(Kalusto!$G$85,AH65+AJ65+AI65,0,1,1)))*IF(OR(C67=Pudotusvalikot!$V$3,C67=Pudotusvalikot!$V$4),Muut!$E$38,IF(C67=Pudotusvalikot!$V$5,Muut!$E$39,IF(C67=Pudotusvalikot!$V$6,Muut!$E$40,Muut!$E$41))))</f>
        <v>0.71940999999999999</v>
      </c>
      <c r="L66" s="40"/>
      <c r="M66" s="41" t="s">
        <v>204</v>
      </c>
      <c r="N66" s="41"/>
      <c r="O66" s="265"/>
      <c r="P66" s="34"/>
      <c r="Q66" s="52"/>
      <c r="R66" s="36"/>
      <c r="S66" s="36"/>
      <c r="T66" s="36"/>
      <c r="U66" s="36"/>
      <c r="V66" s="36"/>
      <c r="W66" s="36"/>
      <c r="X66" s="36"/>
      <c r="Y66" s="36"/>
      <c r="Z66" s="36"/>
      <c r="AA66" s="36"/>
      <c r="AB66" s="36"/>
      <c r="AC66" s="36"/>
      <c r="AD66" s="36"/>
      <c r="AE66" s="36"/>
      <c r="AF66" s="36"/>
      <c r="AG66" s="36"/>
      <c r="AH66" s="36"/>
      <c r="AI66" s="36"/>
      <c r="AJ66" s="36"/>
      <c r="AK66" s="108"/>
      <c r="AL66" s="36"/>
      <c r="AM66" s="36"/>
      <c r="AN66" s="37"/>
      <c r="AO66" s="37"/>
      <c r="AP66" s="37"/>
      <c r="AQ66" s="37"/>
      <c r="AR66" s="37"/>
      <c r="AS66" s="37"/>
      <c r="AT66" s="37"/>
      <c r="AU66" s="37"/>
      <c r="AV66" s="37"/>
      <c r="AW66" s="37"/>
      <c r="AX66" s="37"/>
      <c r="AY66" s="37"/>
      <c r="AZ66" s="37"/>
      <c r="BA66" s="37"/>
      <c r="BB66" s="37"/>
      <c r="BC66" s="37"/>
      <c r="BD66" s="37"/>
      <c r="BE66" s="37"/>
    </row>
    <row r="67" spans="2:57" s="31" customFormat="1" ht="15.5" x14ac:dyDescent="0.3">
      <c r="B67" s="186" t="s">
        <v>506</v>
      </c>
      <c r="C67" s="160" t="s">
        <v>242</v>
      </c>
      <c r="D67" s="34"/>
      <c r="E67" s="34"/>
      <c r="F67" s="34"/>
      <c r="G67" s="34"/>
      <c r="H67" s="59"/>
      <c r="J67" s="173"/>
      <c r="K67" s="173"/>
      <c r="L67" s="173"/>
      <c r="M67" s="41"/>
      <c r="N67" s="41"/>
      <c r="O67" s="265"/>
      <c r="Q67" s="47"/>
      <c r="R67" s="102"/>
      <c r="S67" s="102"/>
      <c r="T67" s="36"/>
      <c r="U67" s="36"/>
      <c r="V67" s="181"/>
      <c r="W67" s="181"/>
      <c r="X67" s="61"/>
      <c r="Y67" s="36"/>
      <c r="Z67" s="61"/>
      <c r="AA67" s="182"/>
      <c r="AB67" s="61"/>
      <c r="AC67" s="61"/>
      <c r="AD67" s="61"/>
      <c r="AE67" s="61"/>
      <c r="AF67" s="182"/>
      <c r="AG67" s="61"/>
      <c r="AH67" s="36"/>
      <c r="AI67" s="36"/>
      <c r="AJ67" s="36"/>
      <c r="AK67" s="108"/>
      <c r="AL67" s="36"/>
      <c r="AM67" s="36"/>
      <c r="AN67" s="37"/>
      <c r="AO67" s="37"/>
      <c r="AP67" s="37"/>
      <c r="AQ67" s="37"/>
      <c r="AR67" s="37"/>
      <c r="AS67" s="37"/>
      <c r="AT67" s="37"/>
      <c r="AU67" s="37"/>
      <c r="AV67" s="37"/>
      <c r="AW67" s="37"/>
      <c r="AX67" s="37"/>
      <c r="AY67" s="37"/>
      <c r="AZ67" s="37"/>
      <c r="BA67" s="37"/>
      <c r="BB67" s="37"/>
      <c r="BC67" s="37"/>
      <c r="BD67" s="37"/>
      <c r="BE67" s="37"/>
    </row>
    <row r="68" spans="2:57" s="31" customFormat="1" ht="15.5" x14ac:dyDescent="0.3">
      <c r="B68" s="45" t="s">
        <v>514</v>
      </c>
      <c r="C68" s="162"/>
      <c r="D68" s="84" t="s">
        <v>5</v>
      </c>
      <c r="G68" s="34"/>
      <c r="H68" s="84"/>
      <c r="J68" s="53"/>
      <c r="K68" s="34"/>
      <c r="L68" s="34"/>
      <c r="M68" s="84"/>
      <c r="N68" s="84"/>
      <c r="O68" s="100"/>
      <c r="P68" s="53"/>
      <c r="Q68" s="52"/>
      <c r="R68" s="36"/>
      <c r="S68" s="36"/>
      <c r="T68" s="36"/>
      <c r="U68" s="36"/>
      <c r="V68" s="36"/>
      <c r="W68" s="36"/>
      <c r="X68" s="36"/>
      <c r="Y68" s="36"/>
      <c r="Z68" s="36"/>
      <c r="AA68" s="36"/>
      <c r="AB68" s="36"/>
      <c r="AC68" s="36"/>
      <c r="AD68" s="36"/>
      <c r="AE68" s="36"/>
      <c r="AF68" s="36"/>
      <c r="AG68" s="36"/>
      <c r="AH68" s="36"/>
      <c r="AI68" s="36"/>
      <c r="AJ68" s="36"/>
      <c r="AK68" s="108"/>
      <c r="AL68" s="36"/>
      <c r="AM68" s="36"/>
      <c r="AN68" s="37"/>
      <c r="AO68" s="37"/>
      <c r="AP68" s="37"/>
      <c r="AQ68" s="37"/>
      <c r="AR68" s="37"/>
      <c r="AS68" s="37"/>
      <c r="AT68" s="37"/>
      <c r="AU68" s="37"/>
      <c r="AV68" s="37"/>
      <c r="AW68" s="37"/>
      <c r="AX68" s="37"/>
      <c r="AY68" s="37"/>
      <c r="AZ68" s="37"/>
      <c r="BA68" s="37"/>
      <c r="BB68" s="37"/>
      <c r="BC68" s="37"/>
      <c r="BD68" s="37"/>
      <c r="BE68" s="37"/>
    </row>
    <row r="69" spans="2:57" s="31" customFormat="1" ht="15.5" x14ac:dyDescent="0.3">
      <c r="B69" s="155" t="s">
        <v>460</v>
      </c>
      <c r="C69" s="34"/>
      <c r="D69" s="84"/>
      <c r="G69" s="34"/>
      <c r="H69" s="84"/>
      <c r="J69" s="33"/>
      <c r="K69" s="38" t="s">
        <v>329</v>
      </c>
      <c r="L69" s="38" t="s">
        <v>201</v>
      </c>
      <c r="M69" s="84"/>
      <c r="N69" s="84"/>
      <c r="O69" s="100"/>
      <c r="P69" s="34"/>
      <c r="Q69" s="35"/>
      <c r="R69" s="61" t="s">
        <v>350</v>
      </c>
      <c r="S69" s="36"/>
      <c r="T69" s="36" t="s">
        <v>446</v>
      </c>
      <c r="U69" s="36" t="s">
        <v>445</v>
      </c>
      <c r="V69" s="36" t="s">
        <v>443</v>
      </c>
      <c r="W69" s="36" t="s">
        <v>444</v>
      </c>
      <c r="X69" s="36" t="s">
        <v>447</v>
      </c>
      <c r="Y69" s="36" t="s">
        <v>449</v>
      </c>
      <c r="Z69" s="36" t="s">
        <v>448</v>
      </c>
      <c r="AA69" s="36" t="s">
        <v>202</v>
      </c>
      <c r="AB69" s="36" t="s">
        <v>380</v>
      </c>
      <c r="AC69" s="36" t="s">
        <v>450</v>
      </c>
      <c r="AD69" s="36" t="s">
        <v>381</v>
      </c>
      <c r="AE69" s="36" t="s">
        <v>451</v>
      </c>
      <c r="AF69" s="36" t="s">
        <v>452</v>
      </c>
      <c r="AG69" s="36" t="s">
        <v>638</v>
      </c>
      <c r="AH69" s="36" t="s">
        <v>206</v>
      </c>
      <c r="AI69" s="36" t="s">
        <v>278</v>
      </c>
      <c r="AJ69" s="36" t="s">
        <v>207</v>
      </c>
      <c r="AK69" s="108"/>
      <c r="AL69" s="36"/>
      <c r="AM69" s="36"/>
      <c r="AN69" s="37"/>
      <c r="AO69" s="37"/>
      <c r="AP69" s="37"/>
      <c r="AQ69" s="37"/>
      <c r="AR69" s="37"/>
      <c r="AS69" s="37"/>
      <c r="AT69" s="37"/>
      <c r="AU69" s="37"/>
      <c r="AV69" s="37"/>
      <c r="AW69" s="37"/>
      <c r="AX69" s="37"/>
      <c r="AY69" s="37"/>
      <c r="AZ69" s="37"/>
      <c r="BA69" s="37"/>
      <c r="BB69" s="37"/>
      <c r="BC69" s="37"/>
      <c r="BD69" s="37"/>
      <c r="BE69" s="37"/>
    </row>
    <row r="70" spans="2:57" s="31" customFormat="1" ht="46.5" x14ac:dyDescent="0.3">
      <c r="B70" s="170" t="s">
        <v>513</v>
      </c>
      <c r="C70" s="161"/>
      <c r="D70" s="89" t="s">
        <v>175</v>
      </c>
      <c r="E70" s="34"/>
      <c r="F70" s="57"/>
      <c r="G70" s="161"/>
      <c r="H70" s="84" t="str">
        <f>IF(D70="t","t/t","t/m3")</f>
        <v>t/m3</v>
      </c>
      <c r="J70" s="173" t="s">
        <v>441</v>
      </c>
      <c r="K70" s="96">
        <f>IF(ISNUMBER(L70),L70,IF(OR(C71=Pudotusvalikot!$D$14,C71=Pudotusvalikot!$D$15),Kalusto!$G$96,VLOOKUP(C71,Kalusto!$C$44:$G$83,5,FALSE))*IF(OR(C72=Pudotusvalikot!$V$3,C72=Pudotusvalikot!$V$4),Muut!$E$38,IF(C72=Pudotusvalikot!$V$5,Muut!$E$39,IF(C72=Pudotusvalikot!$V$6,Muut!$E$40,Muut!$E$41))))</f>
        <v>6.1090000000000005E-2</v>
      </c>
      <c r="L70" s="40"/>
      <c r="M70" s="41" t="s">
        <v>200</v>
      </c>
      <c r="N70" s="41"/>
      <c r="O70" s="265"/>
      <c r="Q70" s="47"/>
      <c r="R70" s="50" t="str">
        <f ca="1">IF(AND(NOT(ISNUMBER(AB70)),NOT(ISNUMBER(AG70))),"",IF(ISNUMBER(AB70),AB70,0)+IF(ISNUMBER(AG70),AG70,0))</f>
        <v/>
      </c>
      <c r="S70" s="102" t="s">
        <v>172</v>
      </c>
      <c r="T70" s="48" t="str">
        <f>IF(ISNUMBER(L70),"Kohdetieto",IF(OR(C71=Pudotusvalikot!$D$14,C71=Pudotusvalikot!$D$15),Kalusto!$I$96,VLOOKUP(C71,Kalusto!$C$44:$L$83,7,FALSE)))</f>
        <v>Maansiirtoauto</v>
      </c>
      <c r="U70" s="48">
        <f>IF(ISNUMBER(L70),"Kohdetieto",IF(OR(C71=Pudotusvalikot!$D$14,C71=Pudotusvalikot!$D$15),Kalusto!$J$96,VLOOKUP(C71,Kalusto!$C$44:$L$83,8,FALSE)))</f>
        <v>32</v>
      </c>
      <c r="V70" s="49">
        <f>IF(ISNUMBER(L70),"Kohdetieto",IF(OR(C71=Pudotusvalikot!$D$14,C71=Pudotusvalikot!$D$15),Kalusto!$K$96,VLOOKUP(C71,Kalusto!$C$44:$L$83,9,FALSE)))</f>
        <v>0.8</v>
      </c>
      <c r="W70" s="49" t="str">
        <f>IF(ISNUMBER(L70),"Kohdetieto",IF(OR(C71=Pudotusvalikot!$D$14,C71=Pudotusvalikot!$D$15),Kalusto!$L$96,VLOOKUP(C71,Kalusto!$C$44:$L$83,10,FALSE)))</f>
        <v>maantieajo</v>
      </c>
      <c r="X70" s="50" t="str">
        <f>IF(ISBLANK(C70),"",IF(D70="t",C70,C70*G70))</f>
        <v/>
      </c>
      <c r="Y70" s="48" t="str">
        <f>IF(ISNUMBER(C73),C73,"")</f>
        <v/>
      </c>
      <c r="Z70" s="50" t="str">
        <f>IF(ISNUMBER(X70/(U70*V70)*Y70),X70/(U70*V70)*Y70,"")</f>
        <v/>
      </c>
      <c r="AA70" s="51">
        <f>IF(ISNUMBER(L70),L70,K70)</f>
        <v>6.1090000000000005E-2</v>
      </c>
      <c r="AB70" s="50" t="str">
        <f>IF(ISNUMBER(Y70*X70*K70),Y70*X70*K70,"")</f>
        <v/>
      </c>
      <c r="AC70" s="50" t="str">
        <f>IF(C80="Kyllä",Y70,"")</f>
        <v/>
      </c>
      <c r="AD70" s="50" t="str">
        <f>IF(C80="Kyllä",IF(ISNUMBER(X70/(U70*V70)),X70/(U70*V70),""),"")</f>
        <v/>
      </c>
      <c r="AE70" s="50" t="str">
        <f>IF(ISNUMBER(AD70*AC70),AD70*AC70,"")</f>
        <v/>
      </c>
      <c r="AF70" s="51">
        <f ca="1">IF(ISNUMBER(L71),L71,K71)</f>
        <v>0.71940999999999999</v>
      </c>
      <c r="AG70" s="50" t="str">
        <f ca="1">IF(ISNUMBER(AC70*AD70*K71),AC70*AD70*K71,"")</f>
        <v/>
      </c>
      <c r="AH70" s="48">
        <f>IF(T70="Jakelukuorma-auto",0,IF(T70="Maansiirtoauto",4,IF(T70="Puoliperävaunu",6,8)))</f>
        <v>4</v>
      </c>
      <c r="AI70" s="48">
        <f>IF(AND(T70="Jakelukuorma-auto",U70=6),0,IF(AND(T70="Jakelukuorma-auto",U70=15),2,0))</f>
        <v>0</v>
      </c>
      <c r="AJ70" s="48">
        <f>IF(W70="maantieajo",0,1)</f>
        <v>0</v>
      </c>
      <c r="AK70" s="108"/>
      <c r="AL70" s="36"/>
      <c r="AM70" s="36"/>
      <c r="AN70" s="37"/>
      <c r="AO70" s="37"/>
      <c r="AP70" s="37"/>
      <c r="AQ70" s="37"/>
      <c r="AR70" s="37"/>
      <c r="AS70" s="37"/>
      <c r="AT70" s="37"/>
      <c r="AU70" s="37"/>
      <c r="AV70" s="37"/>
      <c r="AW70" s="37"/>
      <c r="AX70" s="37"/>
      <c r="AY70" s="37"/>
      <c r="AZ70" s="37"/>
      <c r="BA70" s="37"/>
      <c r="BB70" s="37"/>
      <c r="BC70" s="37"/>
      <c r="BD70" s="37"/>
      <c r="BE70" s="37"/>
    </row>
    <row r="71" spans="2:57" s="31" customFormat="1" ht="46.5" x14ac:dyDescent="0.3">
      <c r="B71" s="170" t="s">
        <v>512</v>
      </c>
      <c r="C71" s="392" t="s">
        <v>84</v>
      </c>
      <c r="D71" s="393"/>
      <c r="E71" s="393"/>
      <c r="F71" s="393"/>
      <c r="G71" s="394"/>
      <c r="H71" s="84"/>
      <c r="J71" s="33" t="s">
        <v>442</v>
      </c>
      <c r="K71" s="96">
        <f ca="1">IF(ISNUMBER(L71),L71,IF($C$109="Ei","",IF(AND($C$109="Kyllä",OR(C71=Pudotusvalikot!$D$14,C71=Pudotusvalikot!$D$15)),Kalusto!$G$97,OFFSET(Kalusto!$G$85,AH70+AJ70+AI70,0,1,1)))*IF(OR(C72=Pudotusvalikot!$V$3,C72=Pudotusvalikot!$V$4),Muut!$E$38,IF(C72=Pudotusvalikot!$V$5,Muut!$E$39,IF(C72=Pudotusvalikot!$V$6,Muut!$E$40,Muut!$E$41))))</f>
        <v>0.71940999999999999</v>
      </c>
      <c r="L71" s="40"/>
      <c r="M71" s="41" t="s">
        <v>204</v>
      </c>
      <c r="N71" s="41"/>
      <c r="O71" s="265"/>
      <c r="P71" s="34"/>
      <c r="Q71" s="52"/>
      <c r="R71" s="36"/>
      <c r="S71" s="36"/>
      <c r="T71" s="36"/>
      <c r="U71" s="36"/>
      <c r="V71" s="36"/>
      <c r="W71" s="36"/>
      <c r="X71" s="36"/>
      <c r="Y71" s="36"/>
      <c r="Z71" s="36"/>
      <c r="AA71" s="36"/>
      <c r="AB71" s="36"/>
      <c r="AC71" s="36"/>
      <c r="AD71" s="36"/>
      <c r="AE71" s="36"/>
      <c r="AF71" s="36"/>
      <c r="AG71" s="36"/>
      <c r="AH71" s="36"/>
      <c r="AI71" s="36"/>
      <c r="AJ71" s="36"/>
      <c r="AK71" s="108"/>
      <c r="AL71" s="36"/>
      <c r="AM71" s="36"/>
      <c r="AN71" s="37"/>
      <c r="AO71" s="37"/>
      <c r="AP71" s="37"/>
      <c r="AQ71" s="37"/>
      <c r="AR71" s="37"/>
      <c r="AS71" s="37"/>
      <c r="AT71" s="37"/>
      <c r="AU71" s="37"/>
      <c r="AV71" s="37"/>
      <c r="AW71" s="37"/>
      <c r="AX71" s="37"/>
      <c r="AY71" s="37"/>
      <c r="AZ71" s="37"/>
      <c r="BA71" s="37"/>
      <c r="BB71" s="37"/>
      <c r="BC71" s="37"/>
      <c r="BD71" s="37"/>
      <c r="BE71" s="37"/>
    </row>
    <row r="72" spans="2:57" s="31" customFormat="1" ht="15.5" x14ac:dyDescent="0.3">
      <c r="B72" s="186" t="s">
        <v>506</v>
      </c>
      <c r="C72" s="160" t="s">
        <v>242</v>
      </c>
      <c r="D72" s="34"/>
      <c r="E72" s="34"/>
      <c r="F72" s="34"/>
      <c r="G72" s="34"/>
      <c r="H72" s="59"/>
      <c r="J72" s="173"/>
      <c r="K72" s="173"/>
      <c r="L72" s="173"/>
      <c r="M72" s="41"/>
      <c r="N72" s="41"/>
      <c r="O72" s="265"/>
      <c r="Q72" s="47"/>
      <c r="R72" s="102"/>
      <c r="S72" s="102"/>
      <c r="T72" s="36"/>
      <c r="U72" s="36"/>
      <c r="V72" s="181"/>
      <c r="W72" s="181"/>
      <c r="X72" s="61"/>
      <c r="Y72" s="36"/>
      <c r="Z72" s="61"/>
      <c r="AA72" s="182"/>
      <c r="AB72" s="61"/>
      <c r="AC72" s="61"/>
      <c r="AD72" s="61"/>
      <c r="AE72" s="61"/>
      <c r="AF72" s="182"/>
      <c r="AG72" s="61"/>
      <c r="AH72" s="36"/>
      <c r="AI72" s="36"/>
      <c r="AJ72" s="36"/>
      <c r="AK72" s="108"/>
      <c r="AL72" s="36"/>
      <c r="AM72" s="36"/>
      <c r="AN72" s="37"/>
      <c r="AO72" s="37"/>
      <c r="AP72" s="37"/>
      <c r="AQ72" s="37"/>
      <c r="AR72" s="37"/>
      <c r="AS72" s="37"/>
      <c r="AT72" s="37"/>
      <c r="AU72" s="37"/>
      <c r="AV72" s="37"/>
      <c r="AW72" s="37"/>
      <c r="AX72" s="37"/>
      <c r="AY72" s="37"/>
      <c r="AZ72" s="37"/>
      <c r="BA72" s="37"/>
      <c r="BB72" s="37"/>
      <c r="BC72" s="37"/>
      <c r="BD72" s="37"/>
      <c r="BE72" s="37"/>
    </row>
    <row r="73" spans="2:57" s="31" customFormat="1" ht="15.5" x14ac:dyDescent="0.3">
      <c r="B73" s="45" t="s">
        <v>514</v>
      </c>
      <c r="C73" s="162"/>
      <c r="D73" s="90" t="s">
        <v>176</v>
      </c>
      <c r="E73" s="58"/>
      <c r="F73" s="58"/>
      <c r="G73" s="34"/>
      <c r="H73" s="84"/>
      <c r="J73" s="53"/>
      <c r="K73" s="34"/>
      <c r="L73" s="34"/>
      <c r="M73" s="84"/>
      <c r="N73" s="84"/>
      <c r="O73" s="100"/>
      <c r="P73" s="53"/>
      <c r="Q73" s="52"/>
      <c r="R73" s="36"/>
      <c r="S73" s="36"/>
      <c r="T73" s="36"/>
      <c r="U73" s="36"/>
      <c r="V73" s="36"/>
      <c r="W73" s="36"/>
      <c r="X73" s="36"/>
      <c r="Y73" s="36"/>
      <c r="Z73" s="36"/>
      <c r="AA73" s="36"/>
      <c r="AB73" s="36"/>
      <c r="AC73" s="36"/>
      <c r="AD73" s="36"/>
      <c r="AE73" s="36"/>
      <c r="AF73" s="36"/>
      <c r="AG73" s="36"/>
      <c r="AH73" s="36"/>
      <c r="AI73" s="36"/>
      <c r="AJ73" s="36"/>
      <c r="AK73" s="108"/>
      <c r="AL73" s="36"/>
      <c r="AM73" s="36"/>
      <c r="AN73" s="37"/>
      <c r="AO73" s="37"/>
      <c r="AP73" s="37"/>
      <c r="AQ73" s="37"/>
      <c r="AR73" s="37"/>
      <c r="AS73" s="37"/>
      <c r="AT73" s="37"/>
      <c r="AU73" s="37"/>
      <c r="AV73" s="37"/>
      <c r="AW73" s="37"/>
      <c r="AX73" s="37"/>
      <c r="AY73" s="37"/>
      <c r="AZ73" s="37"/>
      <c r="BA73" s="37"/>
      <c r="BB73" s="37"/>
      <c r="BC73" s="37"/>
      <c r="BD73" s="37"/>
      <c r="BE73" s="37"/>
    </row>
    <row r="74" spans="2:57" s="31" customFormat="1" ht="15.5" x14ac:dyDescent="0.3">
      <c r="B74" s="155" t="s">
        <v>334</v>
      </c>
      <c r="C74" s="34"/>
      <c r="D74" s="84"/>
      <c r="G74" s="34"/>
      <c r="H74" s="84"/>
      <c r="J74" s="33"/>
      <c r="K74" s="38" t="s">
        <v>329</v>
      </c>
      <c r="L74" s="38" t="s">
        <v>201</v>
      </c>
      <c r="M74" s="84"/>
      <c r="N74" s="84"/>
      <c r="O74" s="100"/>
      <c r="P74" s="34"/>
      <c r="Q74" s="35"/>
      <c r="R74" s="61" t="s">
        <v>350</v>
      </c>
      <c r="S74" s="36"/>
      <c r="T74" s="36" t="s">
        <v>446</v>
      </c>
      <c r="U74" s="36" t="s">
        <v>445</v>
      </c>
      <c r="V74" s="36" t="s">
        <v>443</v>
      </c>
      <c r="W74" s="36" t="s">
        <v>444</v>
      </c>
      <c r="X74" s="36" t="s">
        <v>447</v>
      </c>
      <c r="Y74" s="36" t="s">
        <v>449</v>
      </c>
      <c r="Z74" s="36" t="s">
        <v>448</v>
      </c>
      <c r="AA74" s="36" t="s">
        <v>202</v>
      </c>
      <c r="AB74" s="36" t="s">
        <v>380</v>
      </c>
      <c r="AC74" s="36" t="s">
        <v>450</v>
      </c>
      <c r="AD74" s="36" t="s">
        <v>381</v>
      </c>
      <c r="AE74" s="36" t="s">
        <v>451</v>
      </c>
      <c r="AF74" s="36" t="s">
        <v>452</v>
      </c>
      <c r="AG74" s="36" t="s">
        <v>638</v>
      </c>
      <c r="AH74" s="36" t="s">
        <v>206</v>
      </c>
      <c r="AI74" s="36" t="s">
        <v>278</v>
      </c>
      <c r="AJ74" s="36" t="s">
        <v>207</v>
      </c>
      <c r="AK74" s="108"/>
      <c r="AL74" s="36"/>
      <c r="AM74" s="36"/>
      <c r="AN74" s="37"/>
      <c r="AO74" s="37"/>
      <c r="AP74" s="37"/>
      <c r="AQ74" s="37"/>
      <c r="AR74" s="37"/>
      <c r="AS74" s="37"/>
      <c r="AT74" s="37"/>
      <c r="AU74" s="37"/>
      <c r="AV74" s="37"/>
      <c r="AW74" s="37"/>
      <c r="AX74" s="37"/>
      <c r="AY74" s="37"/>
      <c r="AZ74" s="37"/>
      <c r="BA74" s="37"/>
      <c r="BB74" s="37"/>
      <c r="BC74" s="37"/>
      <c r="BD74" s="37"/>
      <c r="BE74" s="37"/>
    </row>
    <row r="75" spans="2:57" s="31" customFormat="1" ht="46.5" x14ac:dyDescent="0.3">
      <c r="B75" s="170" t="s">
        <v>513</v>
      </c>
      <c r="C75" s="161"/>
      <c r="D75" s="89" t="s">
        <v>175</v>
      </c>
      <c r="E75" s="34"/>
      <c r="F75" s="57"/>
      <c r="G75" s="161"/>
      <c r="H75" s="84" t="str">
        <f>IF(D75="t","t/t","t/m3")</f>
        <v>t/m3</v>
      </c>
      <c r="J75" s="173" t="s">
        <v>441</v>
      </c>
      <c r="K75" s="96">
        <f>IF(ISNUMBER(L75),L75,IF(OR(C76=Pudotusvalikot!$D$14,C76=Pudotusvalikot!$D$15),Kalusto!$G$96,VLOOKUP(C76,Kalusto!$C$44:$G$83,5,FALSE))*IF(OR(C77=Pudotusvalikot!$V$3,C77=Pudotusvalikot!$V$4),Muut!$E$38,IF(C77=Pudotusvalikot!$V$5,Muut!$E$39,IF(C77=Pudotusvalikot!$V$6,Muut!$E$40,Muut!$E$41))))</f>
        <v>5.7709999999999997E-2</v>
      </c>
      <c r="L75" s="40"/>
      <c r="M75" s="41" t="s">
        <v>200</v>
      </c>
      <c r="N75" s="41"/>
      <c r="O75" s="265"/>
      <c r="Q75" s="47"/>
      <c r="R75" s="50" t="str">
        <f ca="1">IF(AND(NOT(ISNUMBER(AB75)),NOT(ISNUMBER(AG75))),"",IF(ISNUMBER(AB75),AB75,0)+IF(ISNUMBER(AG75),AG75,0))</f>
        <v/>
      </c>
      <c r="S75" s="102" t="s">
        <v>172</v>
      </c>
      <c r="T75" s="48" t="str">
        <f>IF(ISNUMBER(L75),"Kohdetieto",IF(OR(C76=Pudotusvalikot!$D$14,C76=Pudotusvalikot!$D$15),Kalusto!$I$96,VLOOKUP(C76,Kalusto!$C$44:$L$83,7,FALSE)))</f>
        <v>Maansiirtoauto</v>
      </c>
      <c r="U75" s="48">
        <f>IF(ISNUMBER(L75),"Kohdetieto",IF(OR(C76=Pudotusvalikot!$D$14,C76=Pudotusvalikot!$D$15),Kalusto!$J$96,VLOOKUP(C76,Kalusto!$C$44:$L$83,8,FALSE)))</f>
        <v>32</v>
      </c>
      <c r="V75" s="49">
        <f>IF(ISNUMBER(L75),"Kohdetieto",IF(OR(C76=Pudotusvalikot!$D$14,C76=Pudotusvalikot!$D$15),Kalusto!$K$96,VLOOKUP(C76,Kalusto!$C$44:$L$83,9,FALSE)))</f>
        <v>0.8</v>
      </c>
      <c r="W75" s="49" t="str">
        <f>IF(ISNUMBER(L75),"Kohdetieto",IF(OR(C76=Pudotusvalikot!$D$14,C76=Pudotusvalikot!$D$15),Kalusto!$L$96,VLOOKUP(C76,Kalusto!$C$44:$L$83,10,FALSE)))</f>
        <v>maantieajo</v>
      </c>
      <c r="X75" s="50" t="str">
        <f>IF(ISBLANK(C75),"",IF(D75="t",C75,C75*G75))</f>
        <v/>
      </c>
      <c r="Y75" s="48" t="str">
        <f>IF(ISNUMBER(C78),C78,"")</f>
        <v/>
      </c>
      <c r="Z75" s="50" t="str">
        <f>IF(ISNUMBER(X75/(U75*V75)*Y75),X75/(U75*V75)*Y75,"")</f>
        <v/>
      </c>
      <c r="AA75" s="51">
        <f>IF(ISNUMBER(L75),L75,K75)</f>
        <v>5.7709999999999997E-2</v>
      </c>
      <c r="AB75" s="50" t="str">
        <f>IF(ISNUMBER(Y75*X75*K75),Y75*X75*K75,"")</f>
        <v/>
      </c>
      <c r="AC75" s="50" t="str">
        <f>IF(C80="Kyllä",Y75,"")</f>
        <v/>
      </c>
      <c r="AD75" s="50" t="str">
        <f>IF(C80="Kyllä",IF(ISNUMBER(X75/(U75*V75)),X75/(U75*V75),""),"")</f>
        <v/>
      </c>
      <c r="AE75" s="50" t="str">
        <f>IF(ISNUMBER(AD75*AC75),AD75*AC75,"")</f>
        <v/>
      </c>
      <c r="AF75" s="51">
        <f ca="1">IF(ISNUMBER(L76),L76,K76)</f>
        <v>0.71940999999999999</v>
      </c>
      <c r="AG75" s="50" t="str">
        <f ca="1">IF(ISNUMBER(AC75*AD75*K76),AC75*AD75*K76,"")</f>
        <v/>
      </c>
      <c r="AH75" s="48">
        <f>IF(T75="Jakelukuorma-auto",0,IF(T75="Maansiirtoauto",4,IF(T75="Puoliperävaunu",6,8)))</f>
        <v>4</v>
      </c>
      <c r="AI75" s="48">
        <f>IF(AND(T75="Jakelukuorma-auto",U75=6),0,IF(AND(T75="Jakelukuorma-auto",U75=15),2,0))</f>
        <v>0</v>
      </c>
      <c r="AJ75" s="48">
        <f>IF(W75="maantieajo",0,1)</f>
        <v>0</v>
      </c>
      <c r="AK75" s="108"/>
      <c r="AL75" s="36"/>
      <c r="AM75" s="36"/>
      <c r="AN75" s="37"/>
      <c r="AO75" s="37"/>
      <c r="AP75" s="37"/>
      <c r="AQ75" s="37"/>
      <c r="AR75" s="37"/>
      <c r="AS75" s="37"/>
      <c r="AT75" s="37"/>
      <c r="AU75" s="37"/>
      <c r="AV75" s="37"/>
      <c r="AW75" s="37"/>
      <c r="AX75" s="37"/>
      <c r="AY75" s="37"/>
      <c r="AZ75" s="37"/>
      <c r="BA75" s="37"/>
      <c r="BB75" s="37"/>
      <c r="BC75" s="37"/>
      <c r="BD75" s="37"/>
      <c r="BE75" s="37"/>
    </row>
    <row r="76" spans="2:57" s="31" customFormat="1" ht="46.5" x14ac:dyDescent="0.3">
      <c r="B76" s="170" t="s">
        <v>512</v>
      </c>
      <c r="C76" s="392" t="s">
        <v>330</v>
      </c>
      <c r="D76" s="393"/>
      <c r="E76" s="393"/>
      <c r="F76" s="393"/>
      <c r="G76" s="394"/>
      <c r="H76" s="84"/>
      <c r="J76" s="33" t="s">
        <v>442</v>
      </c>
      <c r="K76" s="96">
        <f ca="1">IF(ISNUMBER(L76),L76,IF($C$109="Ei","",IF(AND($C$109="Kyllä",OR(C76=Pudotusvalikot!$D$14,C76=Pudotusvalikot!$D$15)),Kalusto!$G$97,OFFSET(Kalusto!$G$85,AH75+AJ75+AI75,0,1,1)))*IF(OR(C77=Pudotusvalikot!$V$3,C77=Pudotusvalikot!$V$4),Muut!$E$38,IF(C77=Pudotusvalikot!$V$5,Muut!$E$39,IF(C77=Pudotusvalikot!$V$6,Muut!$E$40,Muut!$E$41))))</f>
        <v>0.71940999999999999</v>
      </c>
      <c r="L76" s="40"/>
      <c r="M76" s="41" t="s">
        <v>204</v>
      </c>
      <c r="N76" s="41"/>
      <c r="O76" s="265"/>
      <c r="P76" s="34"/>
      <c r="Q76" s="52"/>
      <c r="R76" s="99"/>
      <c r="S76" s="36"/>
      <c r="T76" s="36"/>
      <c r="U76" s="36"/>
      <c r="V76" s="36"/>
      <c r="W76" s="36"/>
      <c r="X76" s="36"/>
      <c r="Y76" s="36"/>
      <c r="Z76" s="36"/>
      <c r="AA76" s="36"/>
      <c r="AB76" s="36"/>
      <c r="AC76" s="36"/>
      <c r="AD76" s="36"/>
      <c r="AE76" s="36"/>
      <c r="AF76" s="36"/>
      <c r="AG76" s="36"/>
      <c r="AH76" s="36"/>
      <c r="AI76" s="36"/>
      <c r="AJ76" s="36"/>
      <c r="AK76" s="36"/>
      <c r="AL76" s="36"/>
      <c r="AM76" s="36"/>
      <c r="AN76" s="37"/>
      <c r="AO76" s="37"/>
      <c r="AP76" s="37"/>
      <c r="AQ76" s="37"/>
      <c r="AR76" s="37"/>
      <c r="AS76" s="37"/>
      <c r="AT76" s="37"/>
      <c r="AU76" s="37"/>
      <c r="AV76" s="37"/>
      <c r="AW76" s="37"/>
      <c r="AX76" s="37"/>
      <c r="AY76" s="37"/>
      <c r="AZ76" s="37"/>
      <c r="BA76" s="37"/>
      <c r="BB76" s="37"/>
      <c r="BC76" s="37"/>
      <c r="BD76" s="37"/>
      <c r="BE76" s="37"/>
    </row>
    <row r="77" spans="2:57" s="31" customFormat="1" ht="15.5" x14ac:dyDescent="0.3">
      <c r="B77" s="186" t="s">
        <v>506</v>
      </c>
      <c r="C77" s="160" t="s">
        <v>242</v>
      </c>
      <c r="D77" s="34"/>
      <c r="E77" s="34"/>
      <c r="F77" s="34"/>
      <c r="G77" s="34"/>
      <c r="H77" s="59"/>
      <c r="J77" s="173"/>
      <c r="K77" s="173"/>
      <c r="L77" s="173"/>
      <c r="M77" s="41"/>
      <c r="N77" s="41"/>
      <c r="O77" s="265"/>
      <c r="Q77" s="47"/>
      <c r="R77" s="102"/>
      <c r="S77" s="102"/>
      <c r="T77" s="36"/>
      <c r="U77" s="36"/>
      <c r="V77" s="181"/>
      <c r="W77" s="181"/>
      <c r="X77" s="61"/>
      <c r="Y77" s="36"/>
      <c r="Z77" s="61"/>
      <c r="AA77" s="182"/>
      <c r="AB77" s="61"/>
      <c r="AC77" s="61"/>
      <c r="AD77" s="61"/>
      <c r="AE77" s="61"/>
      <c r="AF77" s="182"/>
      <c r="AG77" s="61"/>
      <c r="AH77" s="36"/>
      <c r="AI77" s="36"/>
      <c r="AJ77" s="36"/>
      <c r="AK77" s="108"/>
      <c r="AL77" s="36"/>
      <c r="AM77" s="36"/>
      <c r="AN77" s="37"/>
      <c r="AO77" s="37"/>
      <c r="AP77" s="37"/>
      <c r="AQ77" s="37"/>
      <c r="AR77" s="37"/>
      <c r="AS77" s="37"/>
      <c r="AT77" s="37"/>
      <c r="AU77" s="37"/>
      <c r="AV77" s="37"/>
      <c r="AW77" s="37"/>
      <c r="AX77" s="37"/>
      <c r="AY77" s="37"/>
      <c r="AZ77" s="37"/>
      <c r="BA77" s="37"/>
      <c r="BB77" s="37"/>
      <c r="BC77" s="37"/>
      <c r="BD77" s="37"/>
      <c r="BE77" s="37"/>
    </row>
    <row r="78" spans="2:57" s="31" customFormat="1" ht="15.5" x14ac:dyDescent="0.3">
      <c r="B78" s="45" t="s">
        <v>514</v>
      </c>
      <c r="C78" s="162"/>
      <c r="D78" s="84" t="s">
        <v>5</v>
      </c>
      <c r="G78" s="34"/>
      <c r="H78" s="84"/>
      <c r="J78" s="53"/>
      <c r="K78" s="34"/>
      <c r="L78" s="34"/>
      <c r="M78" s="84"/>
      <c r="N78" s="84"/>
      <c r="O78" s="100"/>
      <c r="P78" s="53"/>
      <c r="Q78" s="52"/>
      <c r="R78" s="99"/>
      <c r="S78" s="36"/>
      <c r="T78" s="36"/>
      <c r="U78" s="36"/>
      <c r="V78" s="36"/>
      <c r="W78" s="36"/>
      <c r="X78" s="36"/>
      <c r="Y78" s="36"/>
      <c r="Z78" s="36"/>
      <c r="AA78" s="36"/>
      <c r="AB78" s="36"/>
      <c r="AC78" s="36"/>
      <c r="AD78" s="36"/>
      <c r="AE78" s="36"/>
      <c r="AF78" s="36"/>
      <c r="AG78" s="36"/>
      <c r="AH78" s="36"/>
      <c r="AI78" s="36"/>
      <c r="AJ78" s="36"/>
      <c r="AK78" s="36"/>
      <c r="AL78" s="36"/>
      <c r="AM78" s="36"/>
      <c r="AN78" s="37"/>
      <c r="AO78" s="37"/>
      <c r="AP78" s="37"/>
      <c r="AQ78" s="37"/>
      <c r="AR78" s="37"/>
      <c r="AS78" s="37"/>
      <c r="AT78" s="37"/>
      <c r="AU78" s="37"/>
      <c r="AV78" s="37"/>
      <c r="AW78" s="37"/>
      <c r="AX78" s="37"/>
      <c r="AY78" s="37"/>
      <c r="AZ78" s="37"/>
      <c r="BA78" s="37"/>
      <c r="BB78" s="37"/>
      <c r="BC78" s="37"/>
      <c r="BD78" s="37"/>
      <c r="BE78" s="37"/>
    </row>
    <row r="79" spans="2:57" s="31" customFormat="1" ht="15.5" x14ac:dyDescent="0.3">
      <c r="C79" s="34"/>
      <c r="D79" s="84"/>
      <c r="G79" s="34"/>
      <c r="H79" s="84"/>
      <c r="J79" s="33"/>
      <c r="K79" s="34"/>
      <c r="L79" s="34"/>
      <c r="M79" s="84"/>
      <c r="N79" s="84"/>
      <c r="O79" s="100"/>
      <c r="Q79" s="35"/>
      <c r="R79" s="99"/>
      <c r="S79" s="36"/>
      <c r="T79" s="36"/>
      <c r="U79" s="36"/>
      <c r="V79" s="36"/>
      <c r="W79" s="36"/>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row>
    <row r="80" spans="2:57" s="31" customFormat="1" ht="62" x14ac:dyDescent="0.3">
      <c r="B80" s="78" t="s">
        <v>668</v>
      </c>
      <c r="C80" s="392" t="s">
        <v>6</v>
      </c>
      <c r="D80" s="394"/>
      <c r="E80" s="34"/>
      <c r="F80" s="58"/>
      <c r="G80" s="34"/>
      <c r="H80" s="84"/>
      <c r="J80" s="33"/>
      <c r="K80" s="34"/>
      <c r="L80" s="34"/>
      <c r="M80" s="84"/>
      <c r="N80" s="84"/>
      <c r="O80" s="100"/>
      <c r="Q80" s="35"/>
      <c r="R80" s="99"/>
      <c r="S80" s="36"/>
      <c r="T80" s="36"/>
      <c r="U80" s="36"/>
      <c r="V80" s="36"/>
      <c r="W80" s="36"/>
      <c r="X80" s="36"/>
      <c r="Y80" s="36"/>
      <c r="Z80" s="36"/>
      <c r="AA80" s="36"/>
      <c r="AB80" s="36"/>
      <c r="AC80" s="36"/>
      <c r="AD80" s="36"/>
      <c r="AE80" s="36"/>
      <c r="AF80" s="36"/>
      <c r="AG80" s="36"/>
      <c r="AH80" s="36"/>
      <c r="AI80" s="36"/>
      <c r="AJ80" s="36"/>
      <c r="AK80" s="36"/>
      <c r="AL80" s="36"/>
      <c r="AM80" s="36"/>
      <c r="AN80" s="37"/>
      <c r="AO80" s="37"/>
      <c r="AP80" s="37"/>
      <c r="AQ80" s="37"/>
      <c r="AR80" s="37"/>
      <c r="AS80" s="37"/>
      <c r="AT80" s="37"/>
      <c r="AU80" s="37"/>
      <c r="AV80" s="37"/>
      <c r="AW80" s="37"/>
      <c r="AX80" s="37"/>
      <c r="AY80" s="37"/>
      <c r="AZ80" s="37"/>
      <c r="BA80" s="37"/>
      <c r="BB80" s="37"/>
      <c r="BC80" s="37"/>
      <c r="BD80" s="37"/>
      <c r="BE80" s="37"/>
    </row>
    <row r="81" spans="2:59" s="31" customFormat="1" ht="15.5" x14ac:dyDescent="0.3">
      <c r="C81" s="34"/>
      <c r="D81" s="84"/>
      <c r="G81" s="34"/>
      <c r="H81" s="84"/>
      <c r="J81" s="33"/>
      <c r="K81" s="34"/>
      <c r="L81" s="34"/>
      <c r="M81" s="84"/>
      <c r="N81" s="84"/>
      <c r="O81" s="84"/>
      <c r="Q81" s="35"/>
      <c r="R81" s="99"/>
      <c r="S81" s="36"/>
      <c r="T81" s="36"/>
      <c r="U81" s="36"/>
      <c r="V81" s="36"/>
      <c r="W81" s="36"/>
      <c r="X81" s="36"/>
      <c r="Y81" s="36"/>
      <c r="Z81" s="36"/>
      <c r="AA81" s="36"/>
      <c r="AB81" s="36"/>
      <c r="AC81" s="36"/>
      <c r="AD81" s="36"/>
      <c r="AE81" s="36"/>
      <c r="AF81" s="36"/>
      <c r="AG81" s="36"/>
      <c r="AH81" s="36"/>
      <c r="AI81" s="36"/>
      <c r="AJ81" s="36"/>
      <c r="AK81" s="36"/>
      <c r="AL81" s="36"/>
      <c r="AM81" s="36"/>
      <c r="AN81" s="37"/>
      <c r="AO81" s="37"/>
      <c r="AP81" s="37"/>
      <c r="AQ81" s="37"/>
      <c r="AR81" s="37"/>
      <c r="AS81" s="37"/>
      <c r="AT81" s="37"/>
      <c r="AU81" s="37"/>
      <c r="AV81" s="37"/>
      <c r="AW81" s="37"/>
      <c r="AX81" s="37"/>
      <c r="AY81" s="37"/>
      <c r="AZ81" s="37"/>
      <c r="BA81" s="37"/>
      <c r="BB81" s="37"/>
      <c r="BC81" s="37"/>
      <c r="BD81" s="37"/>
      <c r="BE81" s="37"/>
    </row>
    <row r="82" spans="2:59" s="298" customFormat="1" ht="18" x14ac:dyDescent="0.3">
      <c r="B82" s="295" t="s">
        <v>353</v>
      </c>
      <c r="C82" s="296"/>
      <c r="D82" s="297"/>
      <c r="G82" s="296"/>
      <c r="H82" s="297"/>
      <c r="K82" s="296"/>
      <c r="L82" s="296"/>
      <c r="M82" s="297"/>
      <c r="N82" s="297"/>
      <c r="O82" s="300"/>
      <c r="P82" s="320"/>
      <c r="Q82" s="304"/>
      <c r="R82" s="298" t="str">
        <f>IF(OR(ISNUMBER(#REF!),ISNUMBER(#REF!),ISNUMBER(#REF!),ISNUMBER(#REF!),ISNUMBER(#REF!)),SUM(#REF!,#REF!,#REF!,#REF!,#REF!),"")</f>
        <v/>
      </c>
      <c r="S82" s="303"/>
      <c r="T82" s="303"/>
      <c r="U82" s="303"/>
      <c r="V82" s="303"/>
      <c r="W82" s="303"/>
      <c r="X82" s="303"/>
      <c r="Y82" s="303"/>
      <c r="Z82" s="303"/>
      <c r="AA82" s="303"/>
      <c r="AB82" s="303"/>
      <c r="AC82" s="303"/>
      <c r="AD82" s="303"/>
      <c r="AE82" s="303"/>
      <c r="AF82" s="303"/>
      <c r="AG82" s="303"/>
      <c r="AH82" s="303"/>
      <c r="AI82" s="303"/>
      <c r="AJ82" s="303"/>
      <c r="AK82" s="303"/>
      <c r="AL82" s="303"/>
      <c r="AM82" s="303"/>
      <c r="AN82" s="304"/>
      <c r="AO82" s="304"/>
      <c r="AP82" s="304"/>
      <c r="AQ82" s="304"/>
      <c r="AR82" s="304"/>
      <c r="AS82" s="304"/>
      <c r="AT82" s="304"/>
      <c r="AU82" s="304"/>
      <c r="AV82" s="304"/>
      <c r="AW82" s="304"/>
      <c r="AX82" s="304"/>
      <c r="AY82" s="304"/>
      <c r="AZ82" s="304"/>
      <c r="BA82" s="304"/>
      <c r="BB82" s="304"/>
      <c r="BC82" s="304"/>
      <c r="BD82" s="304"/>
      <c r="BE82" s="304"/>
    </row>
    <row r="83" spans="2:59" s="31" customFormat="1" ht="15.5" x14ac:dyDescent="0.3">
      <c r="B83" s="9"/>
      <c r="C83" s="34"/>
      <c r="D83" s="84"/>
      <c r="G83" s="38" t="s">
        <v>199</v>
      </c>
      <c r="H83" s="84"/>
      <c r="J83" s="33"/>
      <c r="K83" s="38" t="s">
        <v>329</v>
      </c>
      <c r="L83" s="38" t="s">
        <v>201</v>
      </c>
      <c r="M83" s="84"/>
      <c r="N83" s="84"/>
      <c r="O83" s="255" t="s">
        <v>644</v>
      </c>
      <c r="P83" s="38"/>
      <c r="Q83" s="35"/>
      <c r="R83" s="36" t="s">
        <v>350</v>
      </c>
      <c r="S83" s="36"/>
      <c r="T83" s="36" t="s">
        <v>378</v>
      </c>
      <c r="U83" s="36" t="s">
        <v>164</v>
      </c>
      <c r="V83" s="36" t="s">
        <v>355</v>
      </c>
      <c r="W83" s="108"/>
      <c r="X83" s="36"/>
      <c r="Y83" s="36"/>
      <c r="Z83" s="36"/>
      <c r="AA83" s="36"/>
      <c r="AB83" s="36"/>
      <c r="AC83" s="36"/>
      <c r="AD83" s="36"/>
      <c r="AE83" s="36"/>
      <c r="AF83" s="36"/>
      <c r="AG83" s="36"/>
      <c r="AH83" s="36"/>
      <c r="AI83" s="36"/>
      <c r="AJ83" s="36"/>
      <c r="AK83" s="36"/>
      <c r="AL83" s="36"/>
      <c r="AM83" s="36"/>
      <c r="AN83" s="37"/>
      <c r="AO83" s="37"/>
      <c r="AP83" s="37"/>
      <c r="AQ83" s="37"/>
      <c r="AR83" s="37"/>
      <c r="AS83" s="37"/>
      <c r="AT83" s="37"/>
      <c r="AU83" s="37"/>
      <c r="AV83" s="37"/>
      <c r="AW83" s="37"/>
      <c r="AX83" s="37"/>
      <c r="AY83" s="37"/>
      <c r="AZ83" s="37"/>
      <c r="BA83" s="37"/>
      <c r="BB83" s="37"/>
      <c r="BC83" s="37"/>
      <c r="BD83" s="37"/>
      <c r="BE83" s="37"/>
    </row>
    <row r="84" spans="2:59" s="31" customFormat="1" ht="15.5" x14ac:dyDescent="0.3">
      <c r="B84" s="163" t="s">
        <v>462</v>
      </c>
      <c r="C84" s="160"/>
      <c r="D84" s="92" t="s">
        <v>175</v>
      </c>
      <c r="G84" s="66">
        <v>1.8</v>
      </c>
      <c r="H84" s="84" t="s">
        <v>177</v>
      </c>
      <c r="J84" s="33" t="s">
        <v>354</v>
      </c>
      <c r="K84" s="96">
        <f>IF(ISNUMBER(L84),L84,VLOOKUP(B84,Materiaalit!$C$10:$I$21,5,FALSE))</f>
        <v>6.0000000000000001E-3</v>
      </c>
      <c r="L84" s="40"/>
      <c r="M84" s="41" t="s">
        <v>276</v>
      </c>
      <c r="N84" s="41"/>
      <c r="O84" s="256"/>
      <c r="P84" s="41"/>
      <c r="Q84" s="52"/>
      <c r="R84" s="50" t="str">
        <f>IF(ISNUMBER(K84*V84*1000),K84*V84*1000,"")</f>
        <v/>
      </c>
      <c r="S84" s="102" t="s">
        <v>172</v>
      </c>
      <c r="T84" s="50" t="str">
        <f>IF(ISBLANK(C84),"",IF(D84="t",C84,C84*G84))</f>
        <v/>
      </c>
      <c r="U84" s="48">
        <f>VLOOKUP(B84,Materiaalit!$C$10:$I$21,7,FALSE)</f>
        <v>1.05</v>
      </c>
      <c r="V84" s="50" t="str">
        <f>IF(ISNUMBER(U84*T84),U84*T84,"")</f>
        <v/>
      </c>
      <c r="W84" s="108"/>
      <c r="X84" s="36"/>
      <c r="Y84" s="36"/>
      <c r="Z84" s="36"/>
      <c r="AA84" s="36"/>
      <c r="AB84" s="36"/>
      <c r="AC84" s="36"/>
      <c r="AD84" s="36"/>
      <c r="AE84" s="36"/>
      <c r="AF84" s="36"/>
      <c r="AG84" s="36"/>
      <c r="AH84" s="36"/>
      <c r="AI84" s="36"/>
      <c r="AJ84" s="36"/>
      <c r="AK84" s="36"/>
      <c r="AL84" s="36"/>
      <c r="AM84" s="36"/>
      <c r="AN84" s="37"/>
      <c r="AO84" s="37"/>
      <c r="AP84" s="37"/>
      <c r="AQ84" s="37"/>
      <c r="AR84" s="37"/>
      <c r="AS84" s="37"/>
      <c r="AT84" s="37"/>
      <c r="AU84" s="37"/>
      <c r="AV84" s="37"/>
      <c r="AW84" s="37"/>
      <c r="AX84" s="37"/>
      <c r="AY84" s="37"/>
      <c r="AZ84" s="37"/>
      <c r="BA84" s="37"/>
      <c r="BB84" s="37"/>
      <c r="BC84" s="37"/>
      <c r="BD84" s="37"/>
      <c r="BE84" s="37"/>
    </row>
    <row r="85" spans="2:59" s="31" customFormat="1" ht="15.5" x14ac:dyDescent="0.3">
      <c r="B85" s="163" t="s">
        <v>461</v>
      </c>
      <c r="C85" s="160"/>
      <c r="D85" s="89" t="s">
        <v>175</v>
      </c>
      <c r="G85" s="67">
        <f>1/0.6</f>
        <v>1.6666666666666667</v>
      </c>
      <c r="H85" s="84" t="s">
        <v>177</v>
      </c>
      <c r="J85" s="33" t="s">
        <v>354</v>
      </c>
      <c r="K85" s="96">
        <f>IF(ISNUMBER(L85),L85,VLOOKUP(B85,Materiaalit!$C$10:$I$21,5,FALSE))</f>
        <v>6.0000000000000001E-3</v>
      </c>
      <c r="L85" s="40"/>
      <c r="M85" s="41" t="s">
        <v>276</v>
      </c>
      <c r="N85" s="41"/>
      <c r="O85" s="265"/>
      <c r="P85" s="41"/>
      <c r="Q85" s="52"/>
      <c r="R85" s="50" t="str">
        <f>IF(ISNUMBER(K85*V85*1000),K85*V85*1000,"")</f>
        <v/>
      </c>
      <c r="S85" s="102" t="s">
        <v>172</v>
      </c>
      <c r="T85" s="50" t="str">
        <f>IF(ISBLANK(C85),"",IF(D85="t",C85,C85*G85))</f>
        <v/>
      </c>
      <c r="U85" s="48">
        <f>VLOOKUP(B85,Materiaalit!$C$10:$I$21,7,FALSE)</f>
        <v>1.05</v>
      </c>
      <c r="V85" s="50" t="str">
        <f>IF(ISNUMBER(U85*T85),U85*T85,"")</f>
        <v/>
      </c>
      <c r="W85" s="108"/>
      <c r="X85" s="36"/>
      <c r="Y85" s="36"/>
      <c r="Z85" s="36"/>
      <c r="AA85" s="36"/>
      <c r="AB85" s="36"/>
      <c r="AC85" s="36"/>
      <c r="AD85" s="36"/>
      <c r="AE85" s="36"/>
      <c r="AF85" s="36"/>
      <c r="AG85" s="36"/>
      <c r="AH85" s="36"/>
      <c r="AI85" s="36"/>
      <c r="AJ85" s="36"/>
      <c r="AK85" s="36"/>
      <c r="AL85" s="36"/>
      <c r="AM85" s="36"/>
      <c r="AN85" s="37"/>
      <c r="AO85" s="37"/>
      <c r="AP85" s="37"/>
      <c r="AQ85" s="37"/>
      <c r="AR85" s="37"/>
      <c r="AS85" s="37"/>
      <c r="AT85" s="37"/>
      <c r="AU85" s="37"/>
      <c r="AV85" s="37"/>
      <c r="AW85" s="37"/>
      <c r="AX85" s="37"/>
      <c r="AY85" s="37"/>
      <c r="AZ85" s="37"/>
      <c r="BA85" s="37"/>
      <c r="BB85" s="37"/>
      <c r="BC85" s="37"/>
      <c r="BD85" s="37"/>
      <c r="BE85" s="37"/>
    </row>
    <row r="86" spans="2:59" s="31" customFormat="1" ht="15.5" x14ac:dyDescent="0.3">
      <c r="B86" s="163" t="s">
        <v>463</v>
      </c>
      <c r="C86" s="160"/>
      <c r="D86" s="93" t="s">
        <v>175</v>
      </c>
      <c r="G86" s="67">
        <f>1/0.6</f>
        <v>1.6666666666666667</v>
      </c>
      <c r="H86" s="84" t="s">
        <v>177</v>
      </c>
      <c r="J86" s="33" t="s">
        <v>354</v>
      </c>
      <c r="K86" s="96">
        <f>IF(ISNUMBER(L86),L86,VLOOKUP(B86,Materiaalit!$C$10:$I$21,5,FALSE))</f>
        <v>4.0000000000000001E-3</v>
      </c>
      <c r="L86" s="40"/>
      <c r="M86" s="41" t="s">
        <v>276</v>
      </c>
      <c r="N86" s="41"/>
      <c r="O86" s="265"/>
      <c r="P86" s="41"/>
      <c r="Q86" s="52"/>
      <c r="R86" s="50" t="str">
        <f>IF(ISNUMBER(K86*V86*1000),K86*V86*1000,"")</f>
        <v/>
      </c>
      <c r="S86" s="102" t="s">
        <v>172</v>
      </c>
      <c r="T86" s="50" t="str">
        <f>IF(ISBLANK(C86),"",IF(D86="t",C86,C86*G86))</f>
        <v/>
      </c>
      <c r="U86" s="48">
        <f>VLOOKUP(B86,Materiaalit!$C$10:$I$21,7,FALSE)</f>
        <v>1.05</v>
      </c>
      <c r="V86" s="50" t="str">
        <f>IF(ISNUMBER(U86*T86),U86*T86,"")</f>
        <v/>
      </c>
      <c r="W86" s="108"/>
      <c r="X86" s="36"/>
      <c r="Y86" s="36"/>
      <c r="Z86" s="36"/>
      <c r="AA86" s="36"/>
      <c r="AB86" s="36"/>
      <c r="AC86" s="36"/>
      <c r="AD86" s="36"/>
      <c r="AE86" s="36"/>
      <c r="AF86" s="36"/>
      <c r="AG86" s="36"/>
      <c r="AH86" s="36"/>
      <c r="AI86" s="36"/>
      <c r="AJ86" s="36"/>
      <c r="AK86" s="36"/>
      <c r="AL86" s="36"/>
      <c r="AM86" s="36"/>
      <c r="AN86" s="37"/>
      <c r="AO86" s="37"/>
      <c r="AP86" s="37"/>
      <c r="AQ86" s="37"/>
      <c r="AR86" s="37"/>
      <c r="AS86" s="37"/>
      <c r="AT86" s="37"/>
      <c r="AU86" s="37"/>
      <c r="AV86" s="37"/>
      <c r="AW86" s="37"/>
      <c r="AX86" s="37"/>
      <c r="AY86" s="37"/>
      <c r="AZ86" s="37"/>
      <c r="BA86" s="37"/>
      <c r="BB86" s="37"/>
      <c r="BC86" s="37"/>
      <c r="BD86" s="37"/>
      <c r="BE86" s="37"/>
    </row>
    <row r="87" spans="2:59" s="31" customFormat="1" ht="15.5" x14ac:dyDescent="0.3">
      <c r="B87" s="163" t="s">
        <v>464</v>
      </c>
      <c r="C87" s="160"/>
      <c r="D87" s="89" t="s">
        <v>175</v>
      </c>
      <c r="G87" s="67">
        <f>1/0.7</f>
        <v>1.4285714285714286</v>
      </c>
      <c r="H87" s="84" t="s">
        <v>177</v>
      </c>
      <c r="J87" s="33" t="s">
        <v>354</v>
      </c>
      <c r="K87" s="96">
        <f>IF(ISNUMBER(L87),L87,VLOOKUP(B87,Materiaalit!$C$10:$I$21,5,FALSE))</f>
        <v>4.0000000000000001E-3</v>
      </c>
      <c r="L87" s="40"/>
      <c r="M87" s="41" t="s">
        <v>276</v>
      </c>
      <c r="N87" s="41"/>
      <c r="O87" s="265"/>
      <c r="P87" s="41"/>
      <c r="Q87" s="52"/>
      <c r="R87" s="50" t="str">
        <f>IF(ISNUMBER(K87*V87*1000),K87*V87*1000,"")</f>
        <v/>
      </c>
      <c r="S87" s="102" t="s">
        <v>172</v>
      </c>
      <c r="T87" s="50" t="str">
        <f>IF(ISBLANK(C87),"",IF(D87="t",C87,C87*G87))</f>
        <v/>
      </c>
      <c r="U87" s="48">
        <f>VLOOKUP(B87,Materiaalit!$C$10:$I$21,7,FALSE)</f>
        <v>1.05</v>
      </c>
      <c r="V87" s="50" t="str">
        <f>IF(ISNUMBER(U87*T87),U87*T87,"")</f>
        <v/>
      </c>
      <c r="W87" s="108"/>
      <c r="X87" s="36"/>
      <c r="Y87" s="36"/>
      <c r="Z87" s="36"/>
      <c r="AA87" s="36"/>
      <c r="AB87" s="36"/>
      <c r="AC87" s="36"/>
      <c r="AD87" s="36"/>
      <c r="AE87" s="36"/>
      <c r="AF87" s="36"/>
      <c r="AG87" s="36"/>
      <c r="AH87" s="36"/>
      <c r="AI87" s="36"/>
      <c r="AJ87" s="36"/>
      <c r="AK87" s="36"/>
      <c r="AL87" s="36"/>
      <c r="AM87" s="36"/>
      <c r="AN87" s="37"/>
      <c r="AO87" s="37"/>
      <c r="AP87" s="37"/>
      <c r="AQ87" s="37"/>
      <c r="AR87" s="37"/>
      <c r="AS87" s="37"/>
      <c r="AT87" s="37"/>
      <c r="AU87" s="37"/>
      <c r="AV87" s="37"/>
      <c r="AW87" s="37"/>
      <c r="AX87" s="37"/>
      <c r="AY87" s="37"/>
      <c r="AZ87" s="37"/>
      <c r="BA87" s="37"/>
      <c r="BB87" s="37"/>
      <c r="BC87" s="37"/>
      <c r="BD87" s="37"/>
      <c r="BE87" s="37"/>
    </row>
    <row r="88" spans="2:59" s="31" customFormat="1" ht="15.5" x14ac:dyDescent="0.3">
      <c r="B88" s="155" t="s">
        <v>465</v>
      </c>
      <c r="C88" s="160"/>
      <c r="D88" s="89" t="s">
        <v>175</v>
      </c>
      <c r="G88" s="160"/>
      <c r="H88" s="84" t="s">
        <v>177</v>
      </c>
      <c r="J88" s="33" t="s">
        <v>354</v>
      </c>
      <c r="K88" s="96">
        <f>IF(ISNUMBER(L88),L88,Materiaalit!$G$23)</f>
        <v>5.0000000000000001E-3</v>
      </c>
      <c r="L88" s="40"/>
      <c r="M88" s="41" t="s">
        <v>276</v>
      </c>
      <c r="N88" s="41"/>
      <c r="O88" s="265"/>
      <c r="P88" s="41"/>
      <c r="Q88" s="52"/>
      <c r="R88" s="50" t="str">
        <f>IF(ISNUMBER(K88*V88*1000),K88*V88*1000,"")</f>
        <v/>
      </c>
      <c r="S88" s="102" t="s">
        <v>172</v>
      </c>
      <c r="T88" s="50" t="str">
        <f>IF(ISBLANK(C88),"",IF(D88="t",C88,C88*G88))</f>
        <v/>
      </c>
      <c r="U88" s="48">
        <f>Materiaalit!$I$23</f>
        <v>1.05</v>
      </c>
      <c r="V88" s="50" t="str">
        <f>IF(ISNUMBER(U88*T88),U88*T88,"")</f>
        <v/>
      </c>
      <c r="W88" s="108"/>
      <c r="X88" s="36"/>
      <c r="Y88" s="36"/>
      <c r="Z88" s="36"/>
      <c r="AA88" s="36"/>
      <c r="AB88" s="36"/>
      <c r="AC88" s="36"/>
      <c r="AD88" s="36"/>
      <c r="AE88" s="36"/>
      <c r="AF88" s="36"/>
      <c r="AG88" s="36"/>
      <c r="AH88" s="36"/>
      <c r="AI88" s="36"/>
      <c r="AJ88" s="36"/>
      <c r="AK88" s="36"/>
      <c r="AL88" s="36"/>
      <c r="AM88" s="36"/>
      <c r="AN88" s="37"/>
      <c r="AO88" s="37"/>
      <c r="AP88" s="37"/>
      <c r="AQ88" s="37"/>
      <c r="AR88" s="37"/>
      <c r="AS88" s="37"/>
      <c r="AT88" s="37"/>
      <c r="AU88" s="37"/>
      <c r="AV88" s="37"/>
      <c r="AW88" s="37"/>
      <c r="AX88" s="37"/>
      <c r="AY88" s="37"/>
      <c r="AZ88" s="37"/>
      <c r="BA88" s="37"/>
      <c r="BB88" s="37"/>
      <c r="BC88" s="37"/>
      <c r="BD88" s="37"/>
      <c r="BE88" s="37"/>
    </row>
    <row r="89" spans="2:59" s="31" customFormat="1" ht="15.5" x14ac:dyDescent="0.3">
      <c r="C89" s="34"/>
      <c r="D89" s="84"/>
      <c r="G89" s="34"/>
      <c r="H89" s="84"/>
      <c r="J89" s="33"/>
      <c r="K89" s="34"/>
      <c r="L89" s="34"/>
      <c r="M89" s="84"/>
      <c r="N89" s="84"/>
      <c r="O89" s="100"/>
      <c r="Q89" s="35"/>
      <c r="R89" s="99"/>
      <c r="S89" s="36"/>
      <c r="T89" s="36"/>
      <c r="U89" s="36"/>
      <c r="V89" s="36"/>
      <c r="W89" s="36"/>
      <c r="X89" s="36"/>
      <c r="Y89" s="36"/>
      <c r="Z89" s="36"/>
      <c r="AA89" s="36"/>
      <c r="AB89" s="36"/>
      <c r="AC89" s="36"/>
      <c r="AD89" s="36"/>
      <c r="AE89" s="36"/>
      <c r="AF89" s="36"/>
      <c r="AG89" s="36"/>
      <c r="AH89" s="36"/>
      <c r="AI89" s="36"/>
      <c r="AJ89" s="36"/>
      <c r="AK89" s="36"/>
      <c r="AL89" s="36"/>
      <c r="AM89" s="36"/>
      <c r="AN89" s="37"/>
      <c r="AO89" s="37"/>
      <c r="AP89" s="37"/>
      <c r="AQ89" s="37"/>
      <c r="AR89" s="37"/>
      <c r="AS89" s="37"/>
      <c r="AT89" s="37"/>
      <c r="AU89" s="37"/>
      <c r="AV89" s="37"/>
      <c r="AW89" s="37"/>
      <c r="AX89" s="37"/>
      <c r="AY89" s="37"/>
      <c r="AZ89" s="37"/>
      <c r="BA89" s="37"/>
      <c r="BB89" s="37"/>
      <c r="BC89" s="37"/>
      <c r="BD89" s="37"/>
      <c r="BE89" s="37"/>
    </row>
    <row r="90" spans="2:59" s="31" customFormat="1" ht="15.5" x14ac:dyDescent="0.3">
      <c r="B90" s="177" t="s">
        <v>592</v>
      </c>
      <c r="C90" s="34"/>
      <c r="D90" s="84"/>
      <c r="E90" s="59"/>
      <c r="G90" s="34"/>
      <c r="H90" s="84"/>
      <c r="J90" s="33"/>
      <c r="K90" s="42"/>
      <c r="L90" s="42"/>
      <c r="M90" s="41"/>
      <c r="N90" s="41"/>
      <c r="O90" s="265"/>
      <c r="P90" s="41"/>
      <c r="Q90" s="166"/>
      <c r="R90" s="167"/>
      <c r="S90" s="101"/>
      <c r="T90" s="167"/>
      <c r="U90" s="55"/>
      <c r="V90" s="167"/>
      <c r="X90" s="55"/>
      <c r="Y90" s="55"/>
      <c r="Z90" s="55"/>
      <c r="AA90" s="55"/>
      <c r="AB90" s="55"/>
      <c r="AC90" s="55"/>
      <c r="AD90" s="55"/>
      <c r="AE90" s="55"/>
      <c r="AF90" s="55"/>
      <c r="AG90" s="55"/>
      <c r="AH90" s="55"/>
      <c r="AI90" s="55"/>
      <c r="AJ90" s="55"/>
      <c r="AK90" s="55"/>
      <c r="AL90" s="55"/>
      <c r="AM90" s="55"/>
      <c r="AN90" s="56"/>
      <c r="AO90" s="56"/>
      <c r="AP90" s="56"/>
      <c r="AQ90" s="56"/>
      <c r="AR90" s="56"/>
      <c r="AS90" s="56"/>
      <c r="AT90" s="56"/>
      <c r="AU90" s="56"/>
      <c r="AV90" s="56"/>
      <c r="AW90" s="56"/>
      <c r="AX90" s="56"/>
      <c r="AY90" s="56"/>
      <c r="AZ90" s="56"/>
      <c r="BA90" s="56"/>
      <c r="BB90" s="56"/>
      <c r="BC90" s="56"/>
      <c r="BD90" s="56"/>
      <c r="BE90" s="56"/>
    </row>
    <row r="91" spans="2:59" s="31" customFormat="1" ht="15.5" x14ac:dyDescent="0.3">
      <c r="C91" s="34"/>
      <c r="D91" s="84"/>
      <c r="G91" s="34"/>
      <c r="H91" s="84"/>
      <c r="J91" s="33"/>
      <c r="K91" s="34"/>
      <c r="L91" s="34"/>
      <c r="M91" s="84"/>
      <c r="N91" s="84"/>
      <c r="O91" s="84"/>
      <c r="Q91" s="35"/>
      <c r="R91" s="99"/>
      <c r="S91" s="36"/>
      <c r="T91" s="36"/>
      <c r="U91" s="36"/>
      <c r="V91" s="36"/>
      <c r="W91" s="36"/>
      <c r="X91" s="36"/>
      <c r="Y91" s="36"/>
      <c r="Z91" s="36"/>
      <c r="AA91" s="36"/>
      <c r="AB91" s="36"/>
      <c r="AC91" s="36"/>
      <c r="AD91" s="36"/>
      <c r="AE91" s="36"/>
      <c r="AF91" s="36"/>
      <c r="AG91" s="36"/>
      <c r="AH91" s="36"/>
      <c r="AI91" s="36"/>
      <c r="AJ91" s="36"/>
      <c r="AK91" s="36"/>
      <c r="AL91" s="36"/>
      <c r="AM91" s="36"/>
      <c r="AN91" s="37"/>
      <c r="AO91" s="37"/>
      <c r="AP91" s="37"/>
      <c r="AQ91" s="37"/>
      <c r="AR91" s="37"/>
      <c r="AS91" s="37"/>
      <c r="AT91" s="37"/>
      <c r="AU91" s="37"/>
      <c r="AV91" s="37"/>
      <c r="AW91" s="37"/>
      <c r="AX91" s="37"/>
      <c r="AY91" s="37"/>
      <c r="AZ91" s="37"/>
      <c r="BA91" s="37"/>
      <c r="BB91" s="37"/>
      <c r="BC91" s="37"/>
      <c r="BD91" s="37"/>
      <c r="BE91" s="37"/>
    </row>
    <row r="92" spans="2:59" s="298" customFormat="1" ht="18" x14ac:dyDescent="0.3">
      <c r="B92" s="295" t="s">
        <v>356</v>
      </c>
      <c r="C92" s="296"/>
      <c r="D92" s="297"/>
      <c r="G92" s="296"/>
      <c r="H92" s="297"/>
      <c r="K92" s="296"/>
      <c r="L92" s="296"/>
      <c r="M92" s="297"/>
      <c r="N92" s="297"/>
      <c r="O92" s="300"/>
      <c r="P92" s="320"/>
      <c r="Q92" s="304"/>
      <c r="S92" s="303"/>
      <c r="T92" s="303"/>
      <c r="U92" s="303"/>
      <c r="V92" s="303"/>
      <c r="W92" s="303"/>
      <c r="X92" s="303"/>
      <c r="Y92" s="303"/>
      <c r="Z92" s="303"/>
      <c r="AA92" s="303"/>
      <c r="AB92" s="303"/>
      <c r="AC92" s="303"/>
      <c r="AD92" s="303"/>
      <c r="AE92" s="303"/>
      <c r="AF92" s="303"/>
      <c r="AG92" s="303"/>
      <c r="AH92" s="303"/>
      <c r="AI92" s="303"/>
      <c r="AJ92" s="303"/>
      <c r="AK92" s="303"/>
      <c r="AL92" s="303"/>
      <c r="AM92" s="303"/>
      <c r="AN92" s="304"/>
      <c r="AO92" s="304"/>
      <c r="AP92" s="304"/>
      <c r="AQ92" s="304"/>
      <c r="AR92" s="304"/>
      <c r="AS92" s="304"/>
      <c r="AT92" s="304"/>
      <c r="AU92" s="304"/>
      <c r="AV92" s="304"/>
      <c r="AW92" s="304"/>
      <c r="AX92" s="304"/>
      <c r="AY92" s="304"/>
      <c r="AZ92" s="304"/>
      <c r="BA92" s="304"/>
      <c r="BB92" s="304"/>
      <c r="BC92" s="304"/>
      <c r="BD92" s="304"/>
      <c r="BE92" s="304"/>
    </row>
    <row r="93" spans="2:59" s="31" customFormat="1" ht="15.5" x14ac:dyDescent="0.3">
      <c r="B93" s="9"/>
      <c r="C93" s="34"/>
      <c r="D93" s="84"/>
      <c r="G93" s="38"/>
      <c r="H93" s="84"/>
      <c r="J93" s="33"/>
      <c r="K93" s="38"/>
      <c r="L93" s="38"/>
      <c r="M93" s="86"/>
      <c r="N93" s="86"/>
      <c r="O93" s="86"/>
      <c r="P93" s="38"/>
      <c r="Q93" s="35"/>
      <c r="R93" s="99"/>
      <c r="S93" s="36"/>
      <c r="T93" s="36"/>
      <c r="U93" s="36"/>
      <c r="V93" s="36"/>
      <c r="W93" s="36"/>
      <c r="X93" s="36"/>
      <c r="Y93" s="36"/>
      <c r="Z93" s="36"/>
      <c r="AA93" s="36"/>
      <c r="AB93" s="36"/>
      <c r="AC93" s="36"/>
      <c r="AD93" s="36"/>
      <c r="AE93" s="36"/>
      <c r="AF93" s="36"/>
      <c r="AG93" s="36"/>
      <c r="AH93" s="36"/>
      <c r="AI93" s="36"/>
      <c r="AJ93" s="36"/>
      <c r="AK93" s="36"/>
      <c r="AL93" s="36"/>
      <c r="AM93" s="36"/>
      <c r="AN93" s="37"/>
      <c r="AO93" s="37"/>
      <c r="AP93" s="37"/>
      <c r="AQ93" s="37"/>
      <c r="AR93" s="37"/>
      <c r="AS93" s="37"/>
      <c r="AT93" s="37"/>
      <c r="AU93" s="37"/>
      <c r="AV93" s="37"/>
      <c r="AW93" s="37"/>
      <c r="AX93" s="37"/>
      <c r="AY93" s="37"/>
      <c r="AZ93" s="37"/>
      <c r="BA93" s="37"/>
      <c r="BB93" s="37"/>
      <c r="BC93" s="37"/>
      <c r="BD93" s="37"/>
      <c r="BE93" s="37"/>
    </row>
    <row r="94" spans="2:59" s="31" customFormat="1" ht="15.5" x14ac:dyDescent="0.3">
      <c r="B94" s="95" t="str">
        <f>IF(LEFT(B84,5)="Louhe","Louhe",B84)</f>
        <v>Louhe</v>
      </c>
      <c r="C94" s="34"/>
      <c r="D94" s="84"/>
      <c r="G94" s="38" t="s">
        <v>199</v>
      </c>
      <c r="H94" s="84"/>
      <c r="I94" s="84"/>
      <c r="J94" s="33"/>
      <c r="K94" s="38" t="s">
        <v>329</v>
      </c>
      <c r="L94" s="38" t="s">
        <v>201</v>
      </c>
      <c r="M94" s="86"/>
      <c r="N94" s="86"/>
      <c r="O94" s="255" t="s">
        <v>644</v>
      </c>
      <c r="P94" s="148"/>
      <c r="Q94" s="37"/>
      <c r="R94" s="36" t="s">
        <v>350</v>
      </c>
      <c r="S94" s="36"/>
      <c r="T94" s="36" t="s">
        <v>446</v>
      </c>
      <c r="U94" s="36" t="s">
        <v>445</v>
      </c>
      <c r="V94" s="36" t="s">
        <v>443</v>
      </c>
      <c r="W94" s="36" t="s">
        <v>444</v>
      </c>
      <c r="X94" s="36" t="s">
        <v>447</v>
      </c>
      <c r="Y94" s="36" t="s">
        <v>449</v>
      </c>
      <c r="Z94" s="36" t="s">
        <v>448</v>
      </c>
      <c r="AA94" s="36" t="s">
        <v>202</v>
      </c>
      <c r="AB94" s="36" t="s">
        <v>380</v>
      </c>
      <c r="AC94" s="36" t="s">
        <v>450</v>
      </c>
      <c r="AD94" s="36" t="s">
        <v>381</v>
      </c>
      <c r="AE94" s="36" t="s">
        <v>451</v>
      </c>
      <c r="AF94" s="36" t="s">
        <v>452</v>
      </c>
      <c r="AG94" s="36" t="s">
        <v>638</v>
      </c>
      <c r="AH94" s="36" t="s">
        <v>206</v>
      </c>
      <c r="AI94" s="36" t="s">
        <v>278</v>
      </c>
      <c r="AJ94" s="36" t="s">
        <v>207</v>
      </c>
      <c r="AK94" s="108"/>
      <c r="AL94" s="36"/>
      <c r="AM94" s="36"/>
      <c r="AN94" s="37"/>
      <c r="AO94" s="37"/>
      <c r="AP94" s="37"/>
      <c r="AQ94" s="37"/>
      <c r="AR94" s="37"/>
      <c r="AS94" s="37"/>
      <c r="AT94" s="37"/>
      <c r="AU94" s="37"/>
      <c r="AV94" s="37"/>
      <c r="AW94" s="37"/>
      <c r="AX94" s="37"/>
      <c r="AY94" s="37"/>
      <c r="AZ94" s="37"/>
      <c r="BA94" s="37"/>
      <c r="BB94" s="37"/>
      <c r="BC94" s="37"/>
      <c r="BD94" s="37"/>
      <c r="BE94" s="37"/>
      <c r="BF94" s="108"/>
      <c r="BG94" s="108"/>
    </row>
    <row r="95" spans="2:59" s="31" customFormat="1" ht="46.5" x14ac:dyDescent="0.3">
      <c r="B95" s="45" t="s">
        <v>526</v>
      </c>
      <c r="C95" s="112" t="str">
        <f>IF(ISNUMBER(C84),C84,"")</f>
        <v/>
      </c>
      <c r="D95" s="113" t="str">
        <f>D84</f>
        <v>m3ktr</v>
      </c>
      <c r="G95" s="112">
        <f>IF(ISNUMBER(G84),G84,"")</f>
        <v>1.8</v>
      </c>
      <c r="H95" s="84" t="str">
        <f>IF(D95="t","t/t","t/m3")</f>
        <v>t/m3</v>
      </c>
      <c r="I95" s="84"/>
      <c r="J95" s="173" t="s">
        <v>441</v>
      </c>
      <c r="K95" s="96">
        <f>IF(ISNUMBER(L95),L95,IF(OR(C96=Pudotusvalikot!$D$14,C96=Pudotusvalikot!$D$15),Kalusto!$G$96,VLOOKUP(C96,Kalusto!$C$44:$G$83,5,FALSE))*IF(OR(C97=Pudotusvalikot!$V$3,C97=Pudotusvalikot!$V$4),Muut!$E$38,IF(C97=Pudotusvalikot!$V$5,Muut!$E$39,IF(C97=Pudotusvalikot!$V$6,Muut!$E$40,Muut!$E$41))))</f>
        <v>6.1090000000000005E-2</v>
      </c>
      <c r="L95" s="40"/>
      <c r="M95" s="41" t="s">
        <v>200</v>
      </c>
      <c r="N95" s="41"/>
      <c r="O95" s="256"/>
      <c r="P95" s="149"/>
      <c r="Q95" s="104"/>
      <c r="R95" s="50" t="str">
        <f ca="1">IF(AND(NOT(ISNUMBER(AB95)),NOT(ISNUMBER(AG95))),"",IF(ISNUMBER(AB95),AB95,0)+IF(ISNUMBER(AG95),AG95,0))</f>
        <v/>
      </c>
      <c r="S95" s="102" t="s">
        <v>172</v>
      </c>
      <c r="T95" s="48" t="str">
        <f>IF(ISNUMBER(L95),"Kohdetieto",IF(OR(C96=Pudotusvalikot!$D$14,C96=Pudotusvalikot!$D$15),Kalusto!$I$96,VLOOKUP(C96,Kalusto!$C$44:$L$83,7,FALSE)))</f>
        <v>Maansiirtoauto</v>
      </c>
      <c r="U95" s="48">
        <f>IF(ISNUMBER(L95),"Kohdetieto",IF(OR(C96=Pudotusvalikot!$D$14,C96=Pudotusvalikot!$D$15),Kalusto!$J$96,VLOOKUP(C96,Kalusto!$C$44:$L$83,8,FALSE)))</f>
        <v>32</v>
      </c>
      <c r="V95" s="49">
        <f>IF(ISNUMBER(L95),"Kohdetieto",IF(OR(C96=Pudotusvalikot!$D$14,C96=Pudotusvalikot!$D$15),Kalusto!$K$96,VLOOKUP(C96,Kalusto!$C$44:$L$83,9,FALSE)))</f>
        <v>0.8</v>
      </c>
      <c r="W95" s="49" t="str">
        <f>IF(ISNUMBER(L95),"Kohdetieto",IF(OR(C96=Pudotusvalikot!$D$14,C96=Pudotusvalikot!$D$15),Kalusto!$L$96,VLOOKUP(C96,Kalusto!$C$44:$L$83,10,FALSE)))</f>
        <v>maantieajo</v>
      </c>
      <c r="X95" s="50" t="str">
        <f>IF(ISBLANK(C95),"",IF(D95="t",C95,IF(ISNUMBER(C95*G95),C95*G95,"")))</f>
        <v/>
      </c>
      <c r="Y95" s="48" t="str">
        <f>IF(ISNUMBER(C98),C98,"")</f>
        <v/>
      </c>
      <c r="Z95" s="50" t="str">
        <f>IF(ISNUMBER(X95/(U95*V95)*Y95),X95/(U95*V95)*Y95,"")</f>
        <v/>
      </c>
      <c r="AA95" s="51">
        <f>IF(ISNUMBER(L95),L95,K95)</f>
        <v>6.1090000000000005E-2</v>
      </c>
      <c r="AB95" s="50" t="str">
        <f>IF(ISNUMBER(Y95*X95*K95),Y95*X95*K95,"")</f>
        <v/>
      </c>
      <c r="AC95" s="50" t="str">
        <f>IF(C120="Kyllä",Y95,"")</f>
        <v/>
      </c>
      <c r="AD95" s="50" t="str">
        <f>IF(C120="Kyllä",IF(ISNUMBER(X95/(U95*V95)),X95/(U95*V95),""),"")</f>
        <v/>
      </c>
      <c r="AE95" s="50" t="str">
        <f>IF(ISNUMBER(AD95*AC95),AD95*AC95,"")</f>
        <v/>
      </c>
      <c r="AF95" s="51">
        <f ca="1">IF(ISNUMBER(L96),L96,K96)</f>
        <v>0.71940999999999999</v>
      </c>
      <c r="AG95" s="50" t="str">
        <f ca="1">IF(ISNUMBER(AC95*AD95*K96),AC95*AD95*K96,"")</f>
        <v/>
      </c>
      <c r="AH95" s="48">
        <f>IF(T95="Jakelukuorma-auto",0,IF(T95="Maansiirtoauto",4,IF(T95="Puoliperävaunu",6,8)))</f>
        <v>4</v>
      </c>
      <c r="AI95" s="48">
        <f>IF(AND(T95="Jakelukuorma-auto",U95=6),0,IF(AND(T95="Jakelukuorma-auto",U95=15),2,0))</f>
        <v>0</v>
      </c>
      <c r="AJ95" s="48">
        <f>IF(W95="maantieajo",0,1)</f>
        <v>0</v>
      </c>
      <c r="AK95" s="108"/>
      <c r="AL95" s="36"/>
      <c r="AM95" s="36"/>
      <c r="AN95" s="37"/>
      <c r="AO95" s="37"/>
      <c r="AP95" s="37"/>
      <c r="AQ95" s="37"/>
      <c r="AR95" s="37"/>
      <c r="AS95" s="37"/>
      <c r="AT95" s="37"/>
      <c r="AU95" s="37"/>
      <c r="AV95" s="37"/>
      <c r="AW95" s="37"/>
      <c r="AX95" s="37"/>
      <c r="AY95" s="37"/>
      <c r="AZ95" s="37"/>
      <c r="BA95" s="37"/>
      <c r="BB95" s="37"/>
      <c r="BC95" s="37"/>
      <c r="BD95" s="37"/>
      <c r="BE95" s="37"/>
      <c r="BF95" s="108"/>
      <c r="BG95" s="108"/>
    </row>
    <row r="96" spans="2:59" s="31" customFormat="1" ht="46.5" x14ac:dyDescent="0.3">
      <c r="B96" s="170" t="s">
        <v>512</v>
      </c>
      <c r="C96" s="392" t="s">
        <v>84</v>
      </c>
      <c r="D96" s="393"/>
      <c r="E96" s="393"/>
      <c r="F96" s="393"/>
      <c r="G96" s="394"/>
      <c r="H96" s="84"/>
      <c r="I96" s="84"/>
      <c r="J96" s="33" t="s">
        <v>442</v>
      </c>
      <c r="K96" s="96">
        <f ca="1">IF(ISNUMBER(L96),L96,IF($C$138="Ei","",IF(AND($C$138="Kyllä",OR(C96=Pudotusvalikot!$D$14,C96=Pudotusvalikot!$D$15)),Kalusto!$G$97,OFFSET(Kalusto!$G$85,AH95+AJ95+AI95,0,1,1)))*IF(OR(C97=Pudotusvalikot!$V$3,C97=Pudotusvalikot!$V$4),Muut!$E$38,IF(C97=Pudotusvalikot!$V$5,Muut!$E$39,IF(C97=Pudotusvalikot!$V$6,Muut!$E$40,Muut!$E$41))))</f>
        <v>0.71940999999999999</v>
      </c>
      <c r="L96" s="40"/>
      <c r="M96" s="41" t="s">
        <v>204</v>
      </c>
      <c r="N96" s="41"/>
      <c r="O96" s="265"/>
      <c r="P96" s="147"/>
      <c r="Q96" s="105"/>
      <c r="R96" s="36"/>
      <c r="S96" s="36"/>
      <c r="T96" s="36"/>
      <c r="U96" s="36"/>
      <c r="V96" s="36"/>
      <c r="W96" s="36"/>
      <c r="X96" s="36"/>
      <c r="Y96" s="36"/>
      <c r="Z96" s="36"/>
      <c r="AA96" s="36"/>
      <c r="AB96" s="36"/>
      <c r="AC96" s="36"/>
      <c r="AD96" s="36"/>
      <c r="AE96" s="36"/>
      <c r="AF96" s="36"/>
      <c r="AG96" s="36"/>
      <c r="AH96" s="36"/>
      <c r="AI96" s="36"/>
      <c r="AJ96" s="36"/>
      <c r="AK96" s="108"/>
      <c r="AL96" s="36"/>
      <c r="AM96" s="36"/>
      <c r="AN96" s="37"/>
      <c r="AO96" s="37"/>
      <c r="AP96" s="37"/>
      <c r="AQ96" s="37"/>
      <c r="AR96" s="37"/>
      <c r="AS96" s="37"/>
      <c r="AT96" s="37"/>
      <c r="AU96" s="37"/>
      <c r="AV96" s="37"/>
      <c r="AW96" s="37"/>
      <c r="AX96" s="37"/>
      <c r="AY96" s="37"/>
      <c r="AZ96" s="37"/>
      <c r="BA96" s="37"/>
      <c r="BB96" s="37"/>
      <c r="BC96" s="37"/>
      <c r="BD96" s="37"/>
      <c r="BE96" s="37"/>
      <c r="BF96" s="108"/>
      <c r="BG96" s="108"/>
    </row>
    <row r="97" spans="2:59" s="31" customFormat="1" ht="15.5" x14ac:dyDescent="0.3">
      <c r="B97" s="186" t="s">
        <v>506</v>
      </c>
      <c r="C97" s="160" t="s">
        <v>242</v>
      </c>
      <c r="D97" s="34"/>
      <c r="E97" s="34"/>
      <c r="F97" s="34"/>
      <c r="G97" s="34"/>
      <c r="H97" s="59"/>
      <c r="J97" s="173"/>
      <c r="K97" s="173"/>
      <c r="L97" s="173"/>
      <c r="M97" s="41"/>
      <c r="N97" s="41"/>
      <c r="O97" s="265"/>
      <c r="Q97" s="47"/>
      <c r="R97" s="102"/>
      <c r="S97" s="102"/>
      <c r="T97" s="36"/>
      <c r="U97" s="36"/>
      <c r="V97" s="181"/>
      <c r="W97" s="181"/>
      <c r="X97" s="61"/>
      <c r="Y97" s="36"/>
      <c r="Z97" s="61"/>
      <c r="AA97" s="182"/>
      <c r="AB97" s="61"/>
      <c r="AC97" s="61"/>
      <c r="AD97" s="61"/>
      <c r="AE97" s="61"/>
      <c r="AF97" s="182"/>
      <c r="AG97" s="61"/>
      <c r="AH97" s="36"/>
      <c r="AI97" s="36"/>
      <c r="AJ97" s="36"/>
      <c r="AK97" s="108"/>
      <c r="AL97" s="36"/>
      <c r="AM97" s="36"/>
      <c r="AN97" s="37"/>
      <c r="AO97" s="37"/>
      <c r="AP97" s="37"/>
      <c r="AQ97" s="37"/>
      <c r="AR97" s="37"/>
      <c r="AS97" s="37"/>
      <c r="AT97" s="37"/>
      <c r="AU97" s="37"/>
      <c r="AV97" s="37"/>
      <c r="AW97" s="37"/>
      <c r="AX97" s="37"/>
      <c r="AY97" s="37"/>
      <c r="AZ97" s="37"/>
      <c r="BA97" s="37"/>
      <c r="BB97" s="37"/>
      <c r="BC97" s="37"/>
      <c r="BD97" s="37"/>
      <c r="BE97" s="37"/>
    </row>
    <row r="98" spans="2:59" s="31" customFormat="1" ht="15.5" x14ac:dyDescent="0.3">
      <c r="B98" s="45" t="s">
        <v>525</v>
      </c>
      <c r="C98" s="162"/>
      <c r="D98" s="84" t="s">
        <v>5</v>
      </c>
      <c r="G98" s="34"/>
      <c r="H98" s="84"/>
      <c r="I98" s="84"/>
      <c r="J98" s="33"/>
      <c r="K98" s="34"/>
      <c r="L98" s="34"/>
      <c r="M98" s="84"/>
      <c r="N98" s="84"/>
      <c r="O98" s="100"/>
      <c r="P98" s="150"/>
      <c r="Q98" s="105"/>
      <c r="R98" s="36"/>
      <c r="S98" s="36"/>
      <c r="T98" s="36"/>
      <c r="U98" s="36"/>
      <c r="V98" s="36"/>
      <c r="W98" s="36"/>
      <c r="X98" s="36"/>
      <c r="Y98" s="36"/>
      <c r="Z98" s="36"/>
      <c r="AA98" s="36"/>
      <c r="AB98" s="36"/>
      <c r="AC98" s="36"/>
      <c r="AD98" s="36"/>
      <c r="AE98" s="36"/>
      <c r="AF98" s="36"/>
      <c r="AG98" s="36"/>
      <c r="AH98" s="36"/>
      <c r="AI98" s="36"/>
      <c r="AJ98" s="36"/>
      <c r="AK98" s="108"/>
      <c r="AL98" s="36"/>
      <c r="AM98" s="36"/>
      <c r="AN98" s="37"/>
      <c r="AO98" s="37"/>
      <c r="AP98" s="37"/>
      <c r="AQ98" s="37"/>
      <c r="AR98" s="37"/>
      <c r="AS98" s="37"/>
      <c r="AT98" s="37"/>
      <c r="AU98" s="37"/>
      <c r="AV98" s="37"/>
      <c r="AW98" s="37"/>
      <c r="AX98" s="37"/>
      <c r="AY98" s="37"/>
      <c r="AZ98" s="37"/>
      <c r="BA98" s="37"/>
      <c r="BB98" s="37"/>
      <c r="BC98" s="37"/>
      <c r="BD98" s="37"/>
      <c r="BE98" s="37"/>
      <c r="BF98" s="108"/>
      <c r="BG98" s="108"/>
    </row>
    <row r="99" spans="2:59" s="31" customFormat="1" ht="15.5" x14ac:dyDescent="0.3">
      <c r="B99" s="95" t="str">
        <f>IF(LEFT(B85,6)="Murske","Murske",B85)</f>
        <v>Murske</v>
      </c>
      <c r="C99" s="34"/>
      <c r="D99" s="84"/>
      <c r="G99" s="34"/>
      <c r="H99" s="84"/>
      <c r="I99" s="84"/>
      <c r="J99" s="33"/>
      <c r="K99" s="38" t="s">
        <v>329</v>
      </c>
      <c r="L99" s="38" t="s">
        <v>201</v>
      </c>
      <c r="M99" s="86"/>
      <c r="N99" s="86"/>
      <c r="O99" s="266"/>
      <c r="P99" s="148"/>
      <c r="Q99" s="37"/>
      <c r="R99" s="36" t="s">
        <v>350</v>
      </c>
      <c r="S99" s="36"/>
      <c r="T99" s="36" t="s">
        <v>446</v>
      </c>
      <c r="U99" s="36" t="s">
        <v>445</v>
      </c>
      <c r="V99" s="36" t="s">
        <v>443</v>
      </c>
      <c r="W99" s="36" t="s">
        <v>444</v>
      </c>
      <c r="X99" s="36" t="s">
        <v>447</v>
      </c>
      <c r="Y99" s="36" t="s">
        <v>449</v>
      </c>
      <c r="Z99" s="36" t="s">
        <v>448</v>
      </c>
      <c r="AA99" s="36" t="s">
        <v>202</v>
      </c>
      <c r="AB99" s="36" t="s">
        <v>380</v>
      </c>
      <c r="AC99" s="36" t="s">
        <v>450</v>
      </c>
      <c r="AD99" s="36" t="s">
        <v>381</v>
      </c>
      <c r="AE99" s="36" t="s">
        <v>451</v>
      </c>
      <c r="AF99" s="36" t="s">
        <v>452</v>
      </c>
      <c r="AG99" s="36" t="s">
        <v>638</v>
      </c>
      <c r="AH99" s="36" t="s">
        <v>206</v>
      </c>
      <c r="AI99" s="36" t="s">
        <v>278</v>
      </c>
      <c r="AJ99" s="36" t="s">
        <v>207</v>
      </c>
      <c r="AK99" s="108"/>
      <c r="AL99" s="36"/>
      <c r="AM99" s="36"/>
      <c r="AN99" s="37"/>
      <c r="AO99" s="37"/>
      <c r="AP99" s="37"/>
      <c r="AQ99" s="37"/>
      <c r="AR99" s="37"/>
      <c r="AS99" s="37"/>
      <c r="AT99" s="37"/>
      <c r="AU99" s="37"/>
      <c r="AV99" s="37"/>
      <c r="AW99" s="37"/>
      <c r="AX99" s="37"/>
      <c r="AY99" s="37"/>
      <c r="AZ99" s="37"/>
      <c r="BA99" s="37"/>
      <c r="BB99" s="37"/>
      <c r="BC99" s="37"/>
      <c r="BD99" s="37"/>
      <c r="BE99" s="37"/>
      <c r="BF99" s="108"/>
      <c r="BG99" s="108"/>
    </row>
    <row r="100" spans="2:59" s="31" customFormat="1" ht="46.5" x14ac:dyDescent="0.3">
      <c r="B100" s="45" t="s">
        <v>526</v>
      </c>
      <c r="C100" s="112" t="str">
        <f>IF(ISNUMBER(C85),C85,"")</f>
        <v/>
      </c>
      <c r="D100" s="113" t="str">
        <f>D85</f>
        <v>m3ktr</v>
      </c>
      <c r="G100" s="112">
        <f>IF(ISNUMBER(G85),G85,"")</f>
        <v>1.6666666666666667</v>
      </c>
      <c r="H100" s="84" t="str">
        <f>IF(D100="t","t/t","t/m3")</f>
        <v>t/m3</v>
      </c>
      <c r="I100" s="84"/>
      <c r="J100" s="173" t="s">
        <v>441</v>
      </c>
      <c r="K100" s="96">
        <f>IF(ISNUMBER(L100),L100,IF(OR(C101=Pudotusvalikot!$D$14,C101=Pudotusvalikot!$D$15),Kalusto!$G$96,VLOOKUP(C101,Kalusto!$C$44:$G$83,5,FALSE))*IF(OR(C102=Pudotusvalikot!$V$3,C102=Pudotusvalikot!$V$4),Muut!$E$38,IF(C102=Pudotusvalikot!$V$5,Muut!$E$39,IF(C102=Pudotusvalikot!$V$6,Muut!$E$40,Muut!$E$41))))</f>
        <v>6.1090000000000005E-2</v>
      </c>
      <c r="L100" s="40"/>
      <c r="M100" s="41" t="s">
        <v>200</v>
      </c>
      <c r="N100" s="41"/>
      <c r="O100" s="265"/>
      <c r="P100" s="149"/>
      <c r="Q100" s="104"/>
      <c r="R100" s="50" t="str">
        <f ca="1">IF(AND(NOT(ISNUMBER(AB100)),NOT(ISNUMBER(AG100))),"",IF(ISNUMBER(AB100),AB100,0)+IF(ISNUMBER(AG100),AG100,0))</f>
        <v/>
      </c>
      <c r="S100" s="102" t="s">
        <v>172</v>
      </c>
      <c r="T100" s="48" t="str">
        <f>IF(ISNUMBER(L100),"Kohdetieto",IF(OR(C101=Pudotusvalikot!$D$14,C101=Pudotusvalikot!$D$15),Kalusto!$I$96,VLOOKUP(C101,Kalusto!$C$44:$L$83,7,FALSE)))</f>
        <v>Maansiirtoauto</v>
      </c>
      <c r="U100" s="48">
        <f>IF(ISNUMBER(L100),"Kohdetieto",IF(OR(C101=Pudotusvalikot!$D$14,C101=Pudotusvalikot!$D$15),Kalusto!$J$96,VLOOKUP(C101,Kalusto!$C$44:$L$83,8,FALSE)))</f>
        <v>32</v>
      </c>
      <c r="V100" s="49">
        <f>IF(ISNUMBER(L100),"Kohdetieto",IF(OR(C101=Pudotusvalikot!$D$14,C101=Pudotusvalikot!$D$15),Kalusto!$K$96,VLOOKUP(C101,Kalusto!$C$44:$L$83,9,FALSE)))</f>
        <v>0.8</v>
      </c>
      <c r="W100" s="49" t="str">
        <f>IF(ISNUMBER(L100),"Kohdetieto",IF(OR(C101=Pudotusvalikot!$D$14,C101=Pudotusvalikot!$D$15),Kalusto!$L$96,VLOOKUP(C101,Kalusto!$C$44:$L$83,10,FALSE)))</f>
        <v>maantieajo</v>
      </c>
      <c r="X100" s="50" t="str">
        <f>IF(ISBLANK(C100),"",IF(D100="t",C100,IF(ISNUMBER(C100*G100),C100*G100,"")))</f>
        <v/>
      </c>
      <c r="Y100" s="48" t="str">
        <f>IF(ISNUMBER(C103),C103,"")</f>
        <v/>
      </c>
      <c r="Z100" s="50" t="str">
        <f>IF(ISNUMBER(X100/(U100*V100)*Y100),X100/(U100*V100)*Y100,"")</f>
        <v/>
      </c>
      <c r="AA100" s="51">
        <f>IF(ISNUMBER(L100),L100,K100)</f>
        <v>6.1090000000000005E-2</v>
      </c>
      <c r="AB100" s="50" t="str">
        <f>IF(ISNUMBER(Y100*X100*K100),Y100*X100*K100,"")</f>
        <v/>
      </c>
      <c r="AC100" s="50" t="str">
        <f>IF(C120="Kyllä",Y100,"")</f>
        <v/>
      </c>
      <c r="AD100" s="50" t="str">
        <f>IF(C120="Kyllä",IF(ISNUMBER(X100/(U100*V100)),X100/(U100*V100),""),"")</f>
        <v/>
      </c>
      <c r="AE100" s="50" t="str">
        <f>IF(ISNUMBER(AD100*AC100),AD100*AC100,"")</f>
        <v/>
      </c>
      <c r="AF100" s="51">
        <f ca="1">IF(ISNUMBER(L101),L101,K101)</f>
        <v>0.71940999999999999</v>
      </c>
      <c r="AG100" s="50" t="str">
        <f ca="1">IF(ISNUMBER(AC100*AD100*K101),AC100*AD100*K101,"")</f>
        <v/>
      </c>
      <c r="AH100" s="48">
        <f>IF(T100="Jakelukuorma-auto",0,IF(T100="Maansiirtoauto",4,IF(T100="Puoliperävaunu",6,8)))</f>
        <v>4</v>
      </c>
      <c r="AI100" s="48">
        <f>IF(AND(T100="Jakelukuorma-auto",U100=6),0,IF(AND(T100="Jakelukuorma-auto",U100=15),2,0))</f>
        <v>0</v>
      </c>
      <c r="AJ100" s="48">
        <f>IF(W100="maantieajo",0,1)</f>
        <v>0</v>
      </c>
      <c r="AK100" s="108"/>
      <c r="AL100" s="36"/>
      <c r="AM100" s="36"/>
      <c r="AN100" s="37"/>
      <c r="AO100" s="37"/>
      <c r="AP100" s="37"/>
      <c r="AQ100" s="37"/>
      <c r="AR100" s="37"/>
      <c r="AS100" s="37"/>
      <c r="AT100" s="37"/>
      <c r="AU100" s="37"/>
      <c r="AV100" s="37"/>
      <c r="AW100" s="37"/>
      <c r="AX100" s="37"/>
      <c r="AY100" s="37"/>
      <c r="AZ100" s="37"/>
      <c r="BA100" s="37"/>
      <c r="BB100" s="37"/>
      <c r="BC100" s="37"/>
      <c r="BD100" s="37"/>
      <c r="BE100" s="37"/>
      <c r="BF100" s="108"/>
      <c r="BG100" s="108"/>
    </row>
    <row r="101" spans="2:59" s="31" customFormat="1" ht="46.5" x14ac:dyDescent="0.3">
      <c r="B101" s="170" t="s">
        <v>512</v>
      </c>
      <c r="C101" s="392" t="s">
        <v>84</v>
      </c>
      <c r="D101" s="393"/>
      <c r="E101" s="393"/>
      <c r="F101" s="393"/>
      <c r="G101" s="394"/>
      <c r="H101" s="84"/>
      <c r="I101" s="84"/>
      <c r="J101" s="33" t="s">
        <v>442</v>
      </c>
      <c r="K101" s="96">
        <f ca="1">IF(ISNUMBER(L101),L101,IF($C$138="Ei","",IF(AND($C$138="Kyllä",OR(C101=Pudotusvalikot!$D$14,C101=Pudotusvalikot!$D$15)),Kalusto!$G$97,OFFSET(Kalusto!$G$85,AH100+AJ100+AI100,0,1,1)))*IF(OR(C102=Pudotusvalikot!$V$3,C102=Pudotusvalikot!$V$4),Muut!$E$38,IF(C102=Pudotusvalikot!$V$5,Muut!$E$39,IF(C102=Pudotusvalikot!$V$6,Muut!$E$40,Muut!$E$41))))</f>
        <v>0.71940999999999999</v>
      </c>
      <c r="L101" s="40"/>
      <c r="M101" s="41" t="s">
        <v>204</v>
      </c>
      <c r="N101" s="41"/>
      <c r="O101" s="265"/>
      <c r="P101" s="147"/>
      <c r="Q101" s="105"/>
      <c r="R101" s="36"/>
      <c r="S101" s="36"/>
      <c r="T101" s="36"/>
      <c r="U101" s="36"/>
      <c r="V101" s="36"/>
      <c r="W101" s="36"/>
      <c r="X101" s="36"/>
      <c r="Y101" s="36"/>
      <c r="Z101" s="36"/>
      <c r="AA101" s="36"/>
      <c r="AB101" s="36"/>
      <c r="AC101" s="36"/>
      <c r="AD101" s="36"/>
      <c r="AE101" s="36"/>
      <c r="AF101" s="36"/>
      <c r="AG101" s="36"/>
      <c r="AH101" s="36"/>
      <c r="AI101" s="36"/>
      <c r="AJ101" s="36"/>
      <c r="AK101" s="108"/>
      <c r="AL101" s="36"/>
      <c r="AM101" s="36"/>
      <c r="AN101" s="37"/>
      <c r="AO101" s="37"/>
      <c r="AP101" s="37"/>
      <c r="AQ101" s="37"/>
      <c r="AR101" s="37"/>
      <c r="AS101" s="37"/>
      <c r="AT101" s="37"/>
      <c r="AU101" s="37"/>
      <c r="AV101" s="37"/>
      <c r="AW101" s="37"/>
      <c r="AX101" s="37"/>
      <c r="AY101" s="37"/>
      <c r="AZ101" s="37"/>
      <c r="BA101" s="37"/>
      <c r="BB101" s="37"/>
      <c r="BC101" s="37"/>
      <c r="BD101" s="37"/>
      <c r="BE101" s="37"/>
      <c r="BF101" s="108"/>
      <c r="BG101" s="108"/>
    </row>
    <row r="102" spans="2:59" s="31" customFormat="1" ht="15.5" x14ac:dyDescent="0.3">
      <c r="B102" s="186" t="s">
        <v>506</v>
      </c>
      <c r="C102" s="160" t="s">
        <v>242</v>
      </c>
      <c r="D102" s="34"/>
      <c r="E102" s="34"/>
      <c r="F102" s="34"/>
      <c r="G102" s="34"/>
      <c r="H102" s="59"/>
      <c r="J102" s="173"/>
      <c r="K102" s="173"/>
      <c r="L102" s="173"/>
      <c r="M102" s="41"/>
      <c r="N102" s="41"/>
      <c r="O102" s="265"/>
      <c r="Q102" s="47"/>
      <c r="R102" s="102"/>
      <c r="S102" s="102"/>
      <c r="T102" s="36"/>
      <c r="U102" s="36"/>
      <c r="V102" s="181"/>
      <c r="W102" s="181"/>
      <c r="X102" s="61"/>
      <c r="Y102" s="36"/>
      <c r="Z102" s="61"/>
      <c r="AA102" s="182"/>
      <c r="AB102" s="61"/>
      <c r="AC102" s="61"/>
      <c r="AD102" s="61"/>
      <c r="AE102" s="61"/>
      <c r="AF102" s="182"/>
      <c r="AG102" s="61"/>
      <c r="AH102" s="36"/>
      <c r="AI102" s="36"/>
      <c r="AJ102" s="36"/>
      <c r="AK102" s="108"/>
      <c r="AL102" s="36"/>
      <c r="AM102" s="36"/>
      <c r="AN102" s="37"/>
      <c r="AO102" s="37"/>
      <c r="AP102" s="37"/>
      <c r="AQ102" s="37"/>
      <c r="AR102" s="37"/>
      <c r="AS102" s="37"/>
      <c r="AT102" s="37"/>
      <c r="AU102" s="37"/>
      <c r="AV102" s="37"/>
      <c r="AW102" s="37"/>
      <c r="AX102" s="37"/>
      <c r="AY102" s="37"/>
      <c r="AZ102" s="37"/>
      <c r="BA102" s="37"/>
      <c r="BB102" s="37"/>
      <c r="BC102" s="37"/>
      <c r="BD102" s="37"/>
      <c r="BE102" s="37"/>
    </row>
    <row r="103" spans="2:59" s="31" customFormat="1" ht="15.5" x14ac:dyDescent="0.3">
      <c r="B103" s="45" t="s">
        <v>525</v>
      </c>
      <c r="C103" s="162"/>
      <c r="D103" s="84" t="s">
        <v>5</v>
      </c>
      <c r="G103" s="34"/>
      <c r="H103" s="84"/>
      <c r="I103" s="84"/>
      <c r="J103" s="33"/>
      <c r="K103" s="34"/>
      <c r="L103" s="34"/>
      <c r="M103" s="84"/>
      <c r="N103" s="84"/>
      <c r="O103" s="100"/>
      <c r="P103" s="150"/>
      <c r="Q103" s="105"/>
      <c r="R103" s="36"/>
      <c r="S103" s="36"/>
      <c r="T103" s="36"/>
      <c r="U103" s="36"/>
      <c r="V103" s="36"/>
      <c r="W103" s="36"/>
      <c r="X103" s="36"/>
      <c r="Y103" s="36"/>
      <c r="Z103" s="36"/>
      <c r="AA103" s="36"/>
      <c r="AB103" s="36"/>
      <c r="AC103" s="36"/>
      <c r="AD103" s="36"/>
      <c r="AE103" s="36"/>
      <c r="AF103" s="36"/>
      <c r="AG103" s="36"/>
      <c r="AH103" s="36"/>
      <c r="AI103" s="36"/>
      <c r="AJ103" s="36"/>
      <c r="AK103" s="108"/>
      <c r="AL103" s="36"/>
      <c r="AM103" s="36"/>
      <c r="AN103" s="37"/>
      <c r="AO103" s="37"/>
      <c r="AP103" s="37"/>
      <c r="AQ103" s="37"/>
      <c r="AR103" s="37"/>
      <c r="AS103" s="37"/>
      <c r="AT103" s="37"/>
      <c r="AU103" s="37"/>
      <c r="AV103" s="37"/>
      <c r="AW103" s="37"/>
      <c r="AX103" s="37"/>
      <c r="AY103" s="37"/>
      <c r="AZ103" s="37"/>
      <c r="BA103" s="37"/>
      <c r="BB103" s="37"/>
      <c r="BC103" s="37"/>
      <c r="BD103" s="37"/>
      <c r="BE103" s="37"/>
      <c r="BF103" s="108"/>
      <c r="BG103" s="108"/>
    </row>
    <row r="104" spans="2:59" s="31" customFormat="1" ht="15.5" x14ac:dyDescent="0.3">
      <c r="B104" s="95" t="str">
        <f>IF(LEFT(B86,4)="Sora","Sora",B86)</f>
        <v>Sora</v>
      </c>
      <c r="C104" s="34"/>
      <c r="D104" s="84"/>
      <c r="G104" s="34"/>
      <c r="H104" s="84"/>
      <c r="I104" s="84"/>
      <c r="J104" s="33"/>
      <c r="K104" s="38" t="s">
        <v>329</v>
      </c>
      <c r="L104" s="38" t="s">
        <v>201</v>
      </c>
      <c r="M104" s="86"/>
      <c r="N104" s="86"/>
      <c r="O104" s="266"/>
      <c r="P104" s="148"/>
      <c r="Q104" s="37"/>
      <c r="R104" s="36" t="s">
        <v>350</v>
      </c>
      <c r="S104" s="36"/>
      <c r="T104" s="36" t="s">
        <v>446</v>
      </c>
      <c r="U104" s="36" t="s">
        <v>445</v>
      </c>
      <c r="V104" s="36" t="s">
        <v>443</v>
      </c>
      <c r="W104" s="36" t="s">
        <v>444</v>
      </c>
      <c r="X104" s="36" t="s">
        <v>447</v>
      </c>
      <c r="Y104" s="36" t="s">
        <v>449</v>
      </c>
      <c r="Z104" s="36" t="s">
        <v>448</v>
      </c>
      <c r="AA104" s="36" t="s">
        <v>202</v>
      </c>
      <c r="AB104" s="36" t="s">
        <v>380</v>
      </c>
      <c r="AC104" s="36" t="s">
        <v>450</v>
      </c>
      <c r="AD104" s="36" t="s">
        <v>381</v>
      </c>
      <c r="AE104" s="36" t="s">
        <v>451</v>
      </c>
      <c r="AF104" s="36" t="s">
        <v>452</v>
      </c>
      <c r="AG104" s="36" t="s">
        <v>638</v>
      </c>
      <c r="AH104" s="36" t="s">
        <v>206</v>
      </c>
      <c r="AI104" s="36" t="s">
        <v>278</v>
      </c>
      <c r="AJ104" s="36" t="s">
        <v>207</v>
      </c>
      <c r="AK104" s="108"/>
      <c r="AL104" s="36"/>
      <c r="AM104" s="36"/>
      <c r="AN104" s="37"/>
      <c r="AO104" s="37"/>
      <c r="AP104" s="37"/>
      <c r="AQ104" s="37"/>
      <c r="AR104" s="37"/>
      <c r="AS104" s="37"/>
      <c r="AT104" s="37"/>
      <c r="AU104" s="37"/>
      <c r="AV104" s="37"/>
      <c r="AW104" s="37"/>
      <c r="AX104" s="37"/>
      <c r="AY104" s="37"/>
      <c r="AZ104" s="37"/>
      <c r="BA104" s="37"/>
      <c r="BB104" s="37"/>
      <c r="BC104" s="37"/>
      <c r="BD104" s="37"/>
      <c r="BE104" s="37"/>
      <c r="BF104" s="108"/>
      <c r="BG104" s="108"/>
    </row>
    <row r="105" spans="2:59" s="31" customFormat="1" ht="46.5" x14ac:dyDescent="0.3">
      <c r="B105" s="45" t="s">
        <v>526</v>
      </c>
      <c r="C105" s="112" t="str">
        <f>IF(ISNUMBER(C86),C86,"")</f>
        <v/>
      </c>
      <c r="D105" s="113" t="str">
        <f>D86</f>
        <v>m3ktr</v>
      </c>
      <c r="G105" s="112">
        <f>IF(ISNUMBER(G86),G86,"")</f>
        <v>1.6666666666666667</v>
      </c>
      <c r="H105" s="84" t="str">
        <f>IF(D105="t","t/t","t/m3")</f>
        <v>t/m3</v>
      </c>
      <c r="I105" s="84"/>
      <c r="J105" s="173" t="s">
        <v>441</v>
      </c>
      <c r="K105" s="96">
        <f>IF(ISNUMBER(L105),L105,IF(OR(C106=Pudotusvalikot!$D$14,C106=Pudotusvalikot!$D$15),Kalusto!$G$96,VLOOKUP(C106,Kalusto!$C$44:$G$83,5,FALSE))*IF(OR(C107=Pudotusvalikot!$V$3,C107=Pudotusvalikot!$V$4),Muut!$E$38,IF(C107=Pudotusvalikot!$V$5,Muut!$E$39,IF(C107=Pudotusvalikot!$V$6,Muut!$E$40,Muut!$E$41))))</f>
        <v>6.1090000000000005E-2</v>
      </c>
      <c r="L105" s="40"/>
      <c r="M105" s="41" t="s">
        <v>200</v>
      </c>
      <c r="N105" s="41"/>
      <c r="O105" s="265"/>
      <c r="P105" s="149"/>
      <c r="Q105" s="104"/>
      <c r="R105" s="50" t="str">
        <f ca="1">IF(AND(NOT(ISNUMBER(AB105)),NOT(ISNUMBER(AG105))),"",IF(ISNUMBER(AB105),AB105,0)+IF(ISNUMBER(AG105),AG105,0))</f>
        <v/>
      </c>
      <c r="S105" s="102" t="s">
        <v>172</v>
      </c>
      <c r="T105" s="48" t="str">
        <f>IF(ISNUMBER(L105),"Kohdetieto",IF(OR(C106=Pudotusvalikot!$D$14,C106=Pudotusvalikot!$D$15),Kalusto!$I$96,VLOOKUP(C106,Kalusto!$C$44:$L$83,7,FALSE)))</f>
        <v>Maansiirtoauto</v>
      </c>
      <c r="U105" s="48">
        <f>IF(ISNUMBER(L105),"Kohdetieto",IF(OR(C106=Pudotusvalikot!$D$14,C106=Pudotusvalikot!$D$15),Kalusto!$J$96,VLOOKUP(C106,Kalusto!$C$44:$L$83,8,FALSE)))</f>
        <v>32</v>
      </c>
      <c r="V105" s="49">
        <f>IF(ISNUMBER(L105),"Kohdetieto",IF(OR(C106=Pudotusvalikot!$D$14,C106=Pudotusvalikot!$D$15),Kalusto!$K$96,VLOOKUP(C106,Kalusto!$C$44:$L$83,9,FALSE)))</f>
        <v>0.8</v>
      </c>
      <c r="W105" s="49" t="str">
        <f>IF(ISNUMBER(L105),"Kohdetieto",IF(OR(C106=Pudotusvalikot!$D$14,C106=Pudotusvalikot!$D$15),Kalusto!$L$96,VLOOKUP(C106,Kalusto!$C$44:$L$83,10,FALSE)))</f>
        <v>maantieajo</v>
      </c>
      <c r="X105" s="50" t="str">
        <f>IF(ISBLANK(C105),"",IF(D105="t",C105,IF(ISNUMBER(C105*G105),C105*G105,"")))</f>
        <v/>
      </c>
      <c r="Y105" s="48" t="str">
        <f>IF(ISNUMBER(C108),C108,"")</f>
        <v/>
      </c>
      <c r="Z105" s="50" t="str">
        <f>IF(ISNUMBER(X105/(U105*V105)*Y105),X105/(U105*V105)*Y105,"")</f>
        <v/>
      </c>
      <c r="AA105" s="51">
        <f>IF(ISNUMBER(L105),L105,K105)</f>
        <v>6.1090000000000005E-2</v>
      </c>
      <c r="AB105" s="50" t="str">
        <f>IF(ISNUMBER(Y105*X105*K105),Y105*X105*K105,"")</f>
        <v/>
      </c>
      <c r="AC105" s="50" t="str">
        <f>IF(C120="Kyllä",Y105,"")</f>
        <v/>
      </c>
      <c r="AD105" s="50" t="str">
        <f>IF(C120="Kyllä",IF(ISNUMBER(X105/(U105*V105)),X105/(U105*V105),""),"")</f>
        <v/>
      </c>
      <c r="AE105" s="50" t="str">
        <f>IF(ISNUMBER(AD105*AC105),AD105*AC105,"")</f>
        <v/>
      </c>
      <c r="AF105" s="51">
        <f ca="1">IF(ISNUMBER(L106),L106,K106)</f>
        <v>0.71940999999999999</v>
      </c>
      <c r="AG105" s="50" t="str">
        <f ca="1">IF(ISNUMBER(AC105*AD105*K106),AC105*AD105*K106,"")</f>
        <v/>
      </c>
      <c r="AH105" s="48">
        <f>IF(T105="Jakelukuorma-auto",0,IF(T105="Maansiirtoauto",4,IF(T105="Puoliperävaunu",6,8)))</f>
        <v>4</v>
      </c>
      <c r="AI105" s="48">
        <f>IF(AND(T105="Jakelukuorma-auto",U105=6),0,IF(AND(T105="Jakelukuorma-auto",U105=15),2,0))</f>
        <v>0</v>
      </c>
      <c r="AJ105" s="48">
        <f>IF(W105="maantieajo",0,1)</f>
        <v>0</v>
      </c>
      <c r="AK105" s="108"/>
      <c r="AL105" s="36"/>
      <c r="AM105" s="36"/>
      <c r="AN105" s="37"/>
      <c r="AO105" s="37"/>
      <c r="AP105" s="37"/>
      <c r="AQ105" s="37"/>
      <c r="AR105" s="37"/>
      <c r="AS105" s="37"/>
      <c r="AT105" s="37"/>
      <c r="AU105" s="37"/>
      <c r="AV105" s="37"/>
      <c r="AW105" s="37"/>
      <c r="AX105" s="37"/>
      <c r="AY105" s="37"/>
      <c r="AZ105" s="37"/>
      <c r="BA105" s="37"/>
      <c r="BB105" s="37"/>
      <c r="BC105" s="37"/>
      <c r="BD105" s="37"/>
      <c r="BE105" s="37"/>
      <c r="BF105" s="108"/>
      <c r="BG105" s="108"/>
    </row>
    <row r="106" spans="2:59" s="31" customFormat="1" ht="46.5" x14ac:dyDescent="0.3">
      <c r="B106" s="170" t="s">
        <v>512</v>
      </c>
      <c r="C106" s="392" t="s">
        <v>84</v>
      </c>
      <c r="D106" s="393"/>
      <c r="E106" s="393"/>
      <c r="F106" s="393"/>
      <c r="G106" s="394"/>
      <c r="H106" s="84"/>
      <c r="I106" s="84"/>
      <c r="J106" s="33" t="s">
        <v>442</v>
      </c>
      <c r="K106" s="96">
        <f ca="1">IF(ISNUMBER(L106),L106,IF($C$138="Ei","",IF(AND($C$138="Kyllä",OR(C106=Pudotusvalikot!$D$14,C106=Pudotusvalikot!$D$15)),Kalusto!$G$97,OFFSET(Kalusto!$G$85,AH105+AJ105+AI105,0,1,1)))*IF(OR(C107=Pudotusvalikot!$V$3,C107=Pudotusvalikot!$V$4),Muut!$E$38,IF(C107=Pudotusvalikot!$V$5,Muut!$E$39,IF(C107=Pudotusvalikot!$V$6,Muut!$E$40,Muut!$E$41))))</f>
        <v>0.71940999999999999</v>
      </c>
      <c r="L106" s="40"/>
      <c r="M106" s="41" t="s">
        <v>204</v>
      </c>
      <c r="N106" s="41"/>
      <c r="O106" s="265"/>
      <c r="P106" s="147"/>
      <c r="Q106" s="105"/>
      <c r="R106" s="36"/>
      <c r="S106" s="36"/>
      <c r="T106" s="36"/>
      <c r="U106" s="36"/>
      <c r="V106" s="36"/>
      <c r="W106" s="36"/>
      <c r="X106" s="36"/>
      <c r="Y106" s="36"/>
      <c r="Z106" s="36"/>
      <c r="AA106" s="36"/>
      <c r="AB106" s="36"/>
      <c r="AC106" s="36"/>
      <c r="AD106" s="36"/>
      <c r="AE106" s="36"/>
      <c r="AF106" s="36"/>
      <c r="AG106" s="36"/>
      <c r="AH106" s="36"/>
      <c r="AI106" s="36"/>
      <c r="AJ106" s="36"/>
      <c r="AK106" s="108"/>
      <c r="AL106" s="36"/>
      <c r="AM106" s="36"/>
      <c r="AN106" s="37"/>
      <c r="AO106" s="37"/>
      <c r="AP106" s="37"/>
      <c r="AQ106" s="37"/>
      <c r="AR106" s="37"/>
      <c r="AS106" s="37"/>
      <c r="AT106" s="37"/>
      <c r="AU106" s="37"/>
      <c r="AV106" s="37"/>
      <c r="AW106" s="37"/>
      <c r="AX106" s="37"/>
      <c r="AY106" s="37"/>
      <c r="AZ106" s="37"/>
      <c r="BA106" s="37"/>
      <c r="BB106" s="37"/>
      <c r="BC106" s="37"/>
      <c r="BD106" s="37"/>
      <c r="BE106" s="37"/>
      <c r="BF106" s="108"/>
      <c r="BG106" s="108"/>
    </row>
    <row r="107" spans="2:59" s="31" customFormat="1" ht="15.5" x14ac:dyDescent="0.3">
      <c r="B107" s="186" t="s">
        <v>506</v>
      </c>
      <c r="C107" s="160" t="s">
        <v>242</v>
      </c>
      <c r="D107" s="34"/>
      <c r="E107" s="34"/>
      <c r="F107" s="34"/>
      <c r="G107" s="34"/>
      <c r="H107" s="59"/>
      <c r="J107" s="173"/>
      <c r="K107" s="173"/>
      <c r="L107" s="173"/>
      <c r="M107" s="41"/>
      <c r="N107" s="41"/>
      <c r="O107" s="265"/>
      <c r="Q107" s="47"/>
      <c r="R107" s="102"/>
      <c r="S107" s="102"/>
      <c r="T107" s="36"/>
      <c r="U107" s="36"/>
      <c r="V107" s="181"/>
      <c r="W107" s="181"/>
      <c r="X107" s="61"/>
      <c r="Y107" s="36"/>
      <c r="Z107" s="61"/>
      <c r="AA107" s="182"/>
      <c r="AB107" s="61"/>
      <c r="AC107" s="61"/>
      <c r="AD107" s="61"/>
      <c r="AE107" s="61"/>
      <c r="AF107" s="182"/>
      <c r="AG107" s="61"/>
      <c r="AH107" s="36"/>
      <c r="AI107" s="36"/>
      <c r="AJ107" s="36"/>
      <c r="AK107" s="108"/>
      <c r="AL107" s="36"/>
      <c r="AM107" s="36"/>
      <c r="AN107" s="37"/>
      <c r="AO107" s="37"/>
      <c r="AP107" s="37"/>
      <c r="AQ107" s="37"/>
      <c r="AR107" s="37"/>
      <c r="AS107" s="37"/>
      <c r="AT107" s="37"/>
      <c r="AU107" s="37"/>
      <c r="AV107" s="37"/>
      <c r="AW107" s="37"/>
      <c r="AX107" s="37"/>
      <c r="AY107" s="37"/>
      <c r="AZ107" s="37"/>
      <c r="BA107" s="37"/>
      <c r="BB107" s="37"/>
      <c r="BC107" s="37"/>
      <c r="BD107" s="37"/>
      <c r="BE107" s="37"/>
    </row>
    <row r="108" spans="2:59" s="31" customFormat="1" ht="15.5" x14ac:dyDescent="0.3">
      <c r="B108" s="45" t="s">
        <v>525</v>
      </c>
      <c r="C108" s="162"/>
      <c r="D108" s="84" t="s">
        <v>5</v>
      </c>
      <c r="G108" s="34"/>
      <c r="H108" s="84"/>
      <c r="I108" s="84"/>
      <c r="J108" s="33"/>
      <c r="K108" s="34"/>
      <c r="L108" s="34"/>
      <c r="M108" s="84"/>
      <c r="N108" s="84"/>
      <c r="O108" s="100"/>
      <c r="P108" s="150"/>
      <c r="Q108" s="105"/>
      <c r="R108" s="36"/>
      <c r="S108" s="36"/>
      <c r="T108" s="36"/>
      <c r="U108" s="36"/>
      <c r="V108" s="36"/>
      <c r="W108" s="36"/>
      <c r="X108" s="36"/>
      <c r="Y108" s="36"/>
      <c r="Z108" s="36"/>
      <c r="AA108" s="36"/>
      <c r="AB108" s="36"/>
      <c r="AC108" s="36"/>
      <c r="AD108" s="36"/>
      <c r="AE108" s="36"/>
      <c r="AF108" s="36"/>
      <c r="AG108" s="36"/>
      <c r="AH108" s="36"/>
      <c r="AI108" s="36"/>
      <c r="AJ108" s="36"/>
      <c r="AK108" s="108"/>
      <c r="AL108" s="36"/>
      <c r="AM108" s="36"/>
      <c r="AN108" s="37"/>
      <c r="AO108" s="37"/>
      <c r="AP108" s="37"/>
      <c r="AQ108" s="37"/>
      <c r="AR108" s="37"/>
      <c r="AS108" s="37"/>
      <c r="AT108" s="37"/>
      <c r="AU108" s="37"/>
      <c r="AV108" s="37"/>
      <c r="AW108" s="37"/>
      <c r="AX108" s="37"/>
      <c r="AY108" s="37"/>
      <c r="AZ108" s="37"/>
      <c r="BA108" s="37"/>
      <c r="BB108" s="37"/>
      <c r="BC108" s="37"/>
      <c r="BD108" s="37"/>
      <c r="BE108" s="37"/>
      <c r="BF108" s="108"/>
      <c r="BG108" s="108"/>
    </row>
    <row r="109" spans="2:59" s="31" customFormat="1" ht="15.5" x14ac:dyDescent="0.3">
      <c r="B109" s="95" t="str">
        <f>IF(LEFT(B87,6)="Hiekka","Hiekka",B87)</f>
        <v>Hiekka</v>
      </c>
      <c r="C109" s="34"/>
      <c r="D109" s="84"/>
      <c r="G109" s="34"/>
      <c r="H109" s="84"/>
      <c r="I109" s="84"/>
      <c r="J109" s="33"/>
      <c r="K109" s="38" t="s">
        <v>329</v>
      </c>
      <c r="L109" s="38" t="s">
        <v>201</v>
      </c>
      <c r="M109" s="86"/>
      <c r="N109" s="86"/>
      <c r="O109" s="266"/>
      <c r="P109" s="148"/>
      <c r="Q109" s="37"/>
      <c r="R109" s="36" t="s">
        <v>350</v>
      </c>
      <c r="S109" s="36"/>
      <c r="T109" s="36" t="s">
        <v>446</v>
      </c>
      <c r="U109" s="36" t="s">
        <v>445</v>
      </c>
      <c r="V109" s="36" t="s">
        <v>443</v>
      </c>
      <c r="W109" s="36" t="s">
        <v>444</v>
      </c>
      <c r="X109" s="36" t="s">
        <v>447</v>
      </c>
      <c r="Y109" s="36" t="s">
        <v>449</v>
      </c>
      <c r="Z109" s="36" t="s">
        <v>448</v>
      </c>
      <c r="AA109" s="36" t="s">
        <v>202</v>
      </c>
      <c r="AB109" s="36" t="s">
        <v>380</v>
      </c>
      <c r="AC109" s="36" t="s">
        <v>450</v>
      </c>
      <c r="AD109" s="36" t="s">
        <v>381</v>
      </c>
      <c r="AE109" s="36" t="s">
        <v>451</v>
      </c>
      <c r="AF109" s="36" t="s">
        <v>452</v>
      </c>
      <c r="AG109" s="36" t="s">
        <v>638</v>
      </c>
      <c r="AH109" s="36" t="s">
        <v>206</v>
      </c>
      <c r="AI109" s="36" t="s">
        <v>278</v>
      </c>
      <c r="AJ109" s="36" t="s">
        <v>207</v>
      </c>
      <c r="AK109" s="108"/>
      <c r="AL109" s="36"/>
      <c r="AM109" s="36"/>
      <c r="AN109" s="37"/>
      <c r="AO109" s="37"/>
      <c r="AP109" s="37"/>
      <c r="AQ109" s="37"/>
      <c r="AR109" s="37"/>
      <c r="AS109" s="37"/>
      <c r="AT109" s="37"/>
      <c r="AU109" s="37"/>
      <c r="AV109" s="37"/>
      <c r="AW109" s="37"/>
      <c r="AX109" s="37"/>
      <c r="AY109" s="37"/>
      <c r="AZ109" s="37"/>
      <c r="BA109" s="37"/>
      <c r="BB109" s="37"/>
      <c r="BC109" s="37"/>
      <c r="BD109" s="37"/>
      <c r="BE109" s="37"/>
      <c r="BF109" s="108"/>
      <c r="BG109" s="108"/>
    </row>
    <row r="110" spans="2:59" s="31" customFormat="1" ht="46.5" x14ac:dyDescent="0.3">
      <c r="B110" s="45" t="s">
        <v>526</v>
      </c>
      <c r="C110" s="112" t="str">
        <f>IF(ISNUMBER(C87),C87,"")</f>
        <v/>
      </c>
      <c r="D110" s="113" t="str">
        <f>D87</f>
        <v>m3ktr</v>
      </c>
      <c r="G110" s="112">
        <f>IF(ISNUMBER(G87),G87,"")</f>
        <v>1.4285714285714286</v>
      </c>
      <c r="H110" s="84" t="str">
        <f>IF(D110="t","t/t","t/m3")</f>
        <v>t/m3</v>
      </c>
      <c r="I110" s="84"/>
      <c r="J110" s="173" t="s">
        <v>441</v>
      </c>
      <c r="K110" s="96">
        <f>IF(ISNUMBER(L110),L110,IF(OR(C111=Pudotusvalikot!$D$14,C111=Pudotusvalikot!$D$15),Kalusto!$G$96,VLOOKUP(C111,Kalusto!$C$44:$G$83,5,FALSE))*IF(OR(C112=Pudotusvalikot!$V$3,C112=Pudotusvalikot!$V$4),Muut!$E$38,IF(C112=Pudotusvalikot!$V$5,Muut!$E$39,IF(C112=Pudotusvalikot!$V$6,Muut!$E$40,Muut!$E$41))))</f>
        <v>6.1090000000000005E-2</v>
      </c>
      <c r="L110" s="40"/>
      <c r="M110" s="41" t="s">
        <v>200</v>
      </c>
      <c r="N110" s="41"/>
      <c r="O110" s="265"/>
      <c r="P110" s="149"/>
      <c r="Q110" s="104"/>
      <c r="R110" s="50" t="str">
        <f ca="1">IF(AND(NOT(ISNUMBER(AB110)),NOT(ISNUMBER(AG110))),"",IF(ISNUMBER(AB110),AB110,0)+IF(ISNUMBER(AG110),AG110,0))</f>
        <v/>
      </c>
      <c r="S110" s="102" t="s">
        <v>172</v>
      </c>
      <c r="T110" s="48" t="str">
        <f>IF(ISNUMBER(L110),"Kohdetieto",IF(OR(C111=Pudotusvalikot!$D$14,C111=Pudotusvalikot!$D$15),Kalusto!$I$96,VLOOKUP(C111,Kalusto!$C$44:$L$83,7,FALSE)))</f>
        <v>Maansiirtoauto</v>
      </c>
      <c r="U110" s="48">
        <f>IF(ISNUMBER(L110),"Kohdetieto",IF(OR(C111=Pudotusvalikot!$D$14,C111=Pudotusvalikot!$D$15),Kalusto!$J$96,VLOOKUP(C111,Kalusto!$C$44:$L$83,8,FALSE)))</f>
        <v>32</v>
      </c>
      <c r="V110" s="49">
        <f>IF(ISNUMBER(L110),"Kohdetieto",IF(OR(C111=Pudotusvalikot!$D$14,C111=Pudotusvalikot!$D$15),Kalusto!$K$96,VLOOKUP(C111,Kalusto!$C$44:$L$83,9,FALSE)))</f>
        <v>0.8</v>
      </c>
      <c r="W110" s="49" t="str">
        <f>IF(ISNUMBER(L110),"Kohdetieto",IF(OR(C111=Pudotusvalikot!$D$14,C111=Pudotusvalikot!$D$15),Kalusto!$L$96,VLOOKUP(C111,Kalusto!$C$44:$L$83,10,FALSE)))</f>
        <v>maantieajo</v>
      </c>
      <c r="X110" s="50" t="str">
        <f>IF(ISBLANK(C110),"",IF(D110="t",C110,IF(ISNUMBER(C110*G110),C110*G110,"")))</f>
        <v/>
      </c>
      <c r="Y110" s="48" t="str">
        <f>IF(ISNUMBER(C113),C113,"")</f>
        <v/>
      </c>
      <c r="Z110" s="50" t="str">
        <f>IF(ISNUMBER(X110/(U110*V110)*Y110),X110/(U110*V110)*Y110,"")</f>
        <v/>
      </c>
      <c r="AA110" s="51">
        <f>IF(ISNUMBER(L110),L110,K110)</f>
        <v>6.1090000000000005E-2</v>
      </c>
      <c r="AB110" s="50" t="str">
        <f>IF(ISNUMBER(Y110*X110*K110),Y110*X110*K110,"")</f>
        <v/>
      </c>
      <c r="AC110" s="50" t="str">
        <f>IF(C120="Kyllä",Y110,"")</f>
        <v/>
      </c>
      <c r="AD110" s="50" t="str">
        <f>IF(C120="Kyllä",IF(ISNUMBER(X110/(U110*V110)),X110/(U110*V110),""),"")</f>
        <v/>
      </c>
      <c r="AE110" s="50" t="str">
        <f>IF(ISNUMBER(AD110*AC110),AD110*AC110,"")</f>
        <v/>
      </c>
      <c r="AF110" s="51">
        <f ca="1">IF(ISNUMBER(L111),L111,K111)</f>
        <v>0.71940999999999999</v>
      </c>
      <c r="AG110" s="50" t="str">
        <f ca="1">IF(ISNUMBER(AC110*AD110*K111),AC110*AD110*K111,"")</f>
        <v/>
      </c>
      <c r="AH110" s="48">
        <f>IF(T110="Jakelukuorma-auto",0,IF(T110="Maansiirtoauto",4,IF(T110="Puoliperävaunu",6,8)))</f>
        <v>4</v>
      </c>
      <c r="AI110" s="48">
        <f>IF(AND(T110="Jakelukuorma-auto",U110=6),0,IF(AND(T110="Jakelukuorma-auto",U110=15),2,0))</f>
        <v>0</v>
      </c>
      <c r="AJ110" s="48">
        <f>IF(W110="maantieajo",0,1)</f>
        <v>0</v>
      </c>
      <c r="AK110" s="108"/>
      <c r="AL110" s="36"/>
      <c r="AM110" s="36"/>
      <c r="AN110" s="37"/>
      <c r="AO110" s="37"/>
      <c r="AP110" s="37"/>
      <c r="AQ110" s="37"/>
      <c r="AR110" s="37"/>
      <c r="AS110" s="37"/>
      <c r="AT110" s="37"/>
      <c r="AU110" s="37"/>
      <c r="AV110" s="37"/>
      <c r="AW110" s="37"/>
      <c r="AX110" s="37"/>
      <c r="AY110" s="37"/>
      <c r="AZ110" s="37"/>
      <c r="BA110" s="37"/>
      <c r="BB110" s="37"/>
      <c r="BC110" s="37"/>
      <c r="BD110" s="37"/>
      <c r="BE110" s="37"/>
      <c r="BF110" s="108"/>
      <c r="BG110" s="108"/>
    </row>
    <row r="111" spans="2:59" s="31" customFormat="1" ht="46.5" x14ac:dyDescent="0.3">
      <c r="B111" s="170" t="s">
        <v>512</v>
      </c>
      <c r="C111" s="392" t="s">
        <v>84</v>
      </c>
      <c r="D111" s="393"/>
      <c r="E111" s="393"/>
      <c r="F111" s="393"/>
      <c r="G111" s="394"/>
      <c r="H111" s="84"/>
      <c r="I111" s="84"/>
      <c r="J111" s="33" t="s">
        <v>442</v>
      </c>
      <c r="K111" s="96">
        <f ca="1">IF(ISNUMBER(L111),L111,IF($C$138="Ei","",IF(AND($C$138="Kyllä",OR(C111=Pudotusvalikot!$D$14,C111=Pudotusvalikot!$D$15)),Kalusto!$G$97,OFFSET(Kalusto!$G$85,AH110+AJ110+AI110,0,1,1)))*IF(OR(C112=Pudotusvalikot!$V$3,C112=Pudotusvalikot!$V$4),Muut!$E$38,IF(C112=Pudotusvalikot!$V$5,Muut!$E$39,IF(C112=Pudotusvalikot!$V$6,Muut!$E$40,Muut!$E$41))))</f>
        <v>0.71940999999999999</v>
      </c>
      <c r="L111" s="40"/>
      <c r="M111" s="41" t="s">
        <v>204</v>
      </c>
      <c r="N111" s="41"/>
      <c r="O111" s="265"/>
      <c r="P111" s="147"/>
      <c r="Q111" s="105"/>
      <c r="R111" s="36"/>
      <c r="S111" s="36"/>
      <c r="T111" s="36"/>
      <c r="U111" s="36"/>
      <c r="V111" s="36"/>
      <c r="W111" s="36"/>
      <c r="X111" s="36"/>
      <c r="Y111" s="36"/>
      <c r="Z111" s="36"/>
      <c r="AA111" s="36"/>
      <c r="AB111" s="36"/>
      <c r="AC111" s="36"/>
      <c r="AD111" s="36"/>
      <c r="AE111" s="36"/>
      <c r="AF111" s="36"/>
      <c r="AG111" s="36"/>
      <c r="AH111" s="36"/>
      <c r="AI111" s="36"/>
      <c r="AJ111" s="36"/>
      <c r="AK111" s="108"/>
      <c r="AL111" s="36"/>
      <c r="AM111" s="36"/>
      <c r="AN111" s="37"/>
      <c r="AO111" s="37"/>
      <c r="AP111" s="37"/>
      <c r="AQ111" s="37"/>
      <c r="AR111" s="37"/>
      <c r="AS111" s="37"/>
      <c r="AT111" s="37"/>
      <c r="AU111" s="37"/>
      <c r="AV111" s="37"/>
      <c r="AW111" s="37"/>
      <c r="AX111" s="37"/>
      <c r="AY111" s="37"/>
      <c r="AZ111" s="37"/>
      <c r="BA111" s="37"/>
      <c r="BB111" s="37"/>
      <c r="BC111" s="37"/>
      <c r="BD111" s="37"/>
      <c r="BE111" s="37"/>
      <c r="BF111" s="108"/>
      <c r="BG111" s="108"/>
    </row>
    <row r="112" spans="2:59" s="31" customFormat="1" ht="15.5" x14ac:dyDescent="0.3">
      <c r="B112" s="186" t="s">
        <v>506</v>
      </c>
      <c r="C112" s="160" t="s">
        <v>242</v>
      </c>
      <c r="D112" s="34"/>
      <c r="E112" s="34"/>
      <c r="F112" s="34"/>
      <c r="G112" s="34"/>
      <c r="H112" s="59"/>
      <c r="J112" s="173"/>
      <c r="K112" s="173"/>
      <c r="L112" s="173"/>
      <c r="M112" s="41"/>
      <c r="N112" s="41"/>
      <c r="O112" s="265"/>
      <c r="Q112" s="47"/>
      <c r="R112" s="102"/>
      <c r="S112" s="102"/>
      <c r="T112" s="36"/>
      <c r="U112" s="36"/>
      <c r="V112" s="181"/>
      <c r="W112" s="181"/>
      <c r="X112" s="61"/>
      <c r="Y112" s="36"/>
      <c r="Z112" s="61"/>
      <c r="AA112" s="182"/>
      <c r="AB112" s="61"/>
      <c r="AC112" s="61"/>
      <c r="AD112" s="61"/>
      <c r="AE112" s="61"/>
      <c r="AF112" s="182"/>
      <c r="AG112" s="61"/>
      <c r="AH112" s="36"/>
      <c r="AI112" s="36"/>
      <c r="AJ112" s="36"/>
      <c r="AK112" s="108"/>
      <c r="AL112" s="36"/>
      <c r="AM112" s="36"/>
      <c r="AN112" s="37"/>
      <c r="AO112" s="37"/>
      <c r="AP112" s="37"/>
      <c r="AQ112" s="37"/>
      <c r="AR112" s="37"/>
      <c r="AS112" s="37"/>
      <c r="AT112" s="37"/>
      <c r="AU112" s="37"/>
      <c r="AV112" s="37"/>
      <c r="AW112" s="37"/>
      <c r="AX112" s="37"/>
      <c r="AY112" s="37"/>
      <c r="AZ112" s="37"/>
      <c r="BA112" s="37"/>
      <c r="BB112" s="37"/>
      <c r="BC112" s="37"/>
      <c r="BD112" s="37"/>
      <c r="BE112" s="37"/>
    </row>
    <row r="113" spans="2:59" s="31" customFormat="1" ht="15.5" x14ac:dyDescent="0.3">
      <c r="B113" s="45" t="s">
        <v>525</v>
      </c>
      <c r="C113" s="162"/>
      <c r="D113" s="84" t="s">
        <v>5</v>
      </c>
      <c r="G113" s="34"/>
      <c r="H113" s="84"/>
      <c r="I113" s="84"/>
      <c r="J113" s="33"/>
      <c r="K113" s="34"/>
      <c r="L113" s="34"/>
      <c r="M113" s="84"/>
      <c r="N113" s="84"/>
      <c r="O113" s="100"/>
      <c r="P113" s="150"/>
      <c r="Q113" s="105"/>
      <c r="R113" s="36"/>
      <c r="S113" s="36"/>
      <c r="T113" s="36"/>
      <c r="U113" s="36"/>
      <c r="V113" s="36"/>
      <c r="W113" s="36"/>
      <c r="X113" s="36"/>
      <c r="Y113" s="36"/>
      <c r="Z113" s="36"/>
      <c r="AA113" s="36"/>
      <c r="AB113" s="36"/>
      <c r="AC113" s="36"/>
      <c r="AD113" s="36"/>
      <c r="AE113" s="36"/>
      <c r="AF113" s="36"/>
      <c r="AG113" s="36"/>
      <c r="AH113" s="36"/>
      <c r="AI113" s="36"/>
      <c r="AJ113" s="36"/>
      <c r="AK113" s="108"/>
      <c r="AL113" s="36"/>
      <c r="AM113" s="36"/>
      <c r="AN113" s="37"/>
      <c r="AO113" s="37"/>
      <c r="AP113" s="37"/>
      <c r="AQ113" s="37"/>
      <c r="AR113" s="37"/>
      <c r="AS113" s="37"/>
      <c r="AT113" s="37"/>
      <c r="AU113" s="37"/>
      <c r="AV113" s="37"/>
      <c r="AW113" s="37"/>
      <c r="AX113" s="37"/>
      <c r="AY113" s="37"/>
      <c r="AZ113" s="37"/>
      <c r="BA113" s="37"/>
      <c r="BB113" s="37"/>
      <c r="BC113" s="37"/>
      <c r="BD113" s="37"/>
      <c r="BE113" s="37"/>
      <c r="BF113" s="108"/>
      <c r="BG113" s="108"/>
    </row>
    <row r="114" spans="2:59" s="31" customFormat="1" ht="15.5" x14ac:dyDescent="0.3">
      <c r="B114" s="95" t="str">
        <f>B88</f>
        <v>Maa-aineksen 5 kuvaus (valitse yksikkö ja mahdollinen muuntokerroin tonneiksi)</v>
      </c>
      <c r="C114" s="34"/>
      <c r="D114" s="84"/>
      <c r="G114" s="34"/>
      <c r="H114" s="84"/>
      <c r="I114" s="84"/>
      <c r="J114" s="33"/>
      <c r="K114" s="38" t="s">
        <v>329</v>
      </c>
      <c r="L114" s="38" t="s">
        <v>201</v>
      </c>
      <c r="M114" s="86"/>
      <c r="N114" s="86"/>
      <c r="O114" s="266"/>
      <c r="P114" s="148"/>
      <c r="Q114" s="37"/>
      <c r="R114" s="36" t="s">
        <v>350</v>
      </c>
      <c r="S114" s="36"/>
      <c r="T114" s="36" t="s">
        <v>446</v>
      </c>
      <c r="U114" s="36" t="s">
        <v>445</v>
      </c>
      <c r="V114" s="36" t="s">
        <v>443</v>
      </c>
      <c r="W114" s="36" t="s">
        <v>444</v>
      </c>
      <c r="X114" s="36" t="s">
        <v>447</v>
      </c>
      <c r="Y114" s="36" t="s">
        <v>449</v>
      </c>
      <c r="Z114" s="36" t="s">
        <v>448</v>
      </c>
      <c r="AA114" s="36" t="s">
        <v>202</v>
      </c>
      <c r="AB114" s="36" t="s">
        <v>380</v>
      </c>
      <c r="AC114" s="36" t="s">
        <v>450</v>
      </c>
      <c r="AD114" s="36" t="s">
        <v>381</v>
      </c>
      <c r="AE114" s="36" t="s">
        <v>451</v>
      </c>
      <c r="AF114" s="36" t="s">
        <v>452</v>
      </c>
      <c r="AG114" s="36" t="s">
        <v>638</v>
      </c>
      <c r="AH114" s="36" t="s">
        <v>206</v>
      </c>
      <c r="AI114" s="36" t="s">
        <v>278</v>
      </c>
      <c r="AJ114" s="36" t="s">
        <v>207</v>
      </c>
      <c r="AK114" s="108"/>
      <c r="AL114" s="36"/>
      <c r="AM114" s="36"/>
      <c r="AN114" s="37"/>
      <c r="AO114" s="37"/>
      <c r="AP114" s="37"/>
      <c r="AQ114" s="37"/>
      <c r="AR114" s="37"/>
      <c r="AS114" s="37"/>
      <c r="AT114" s="37"/>
      <c r="AU114" s="37"/>
      <c r="AV114" s="37"/>
      <c r="AW114" s="37"/>
      <c r="AX114" s="37"/>
      <c r="AY114" s="37"/>
      <c r="AZ114" s="37"/>
      <c r="BA114" s="37"/>
      <c r="BB114" s="37"/>
      <c r="BC114" s="37"/>
      <c r="BD114" s="37"/>
      <c r="BE114" s="37"/>
      <c r="BF114" s="108"/>
      <c r="BG114" s="108"/>
    </row>
    <row r="115" spans="2:59" s="31" customFormat="1" ht="46.5" x14ac:dyDescent="0.3">
      <c r="B115" s="45" t="s">
        <v>528</v>
      </c>
      <c r="C115" s="112" t="str">
        <f>IF(ISNUMBER(C88),C88,"")</f>
        <v/>
      </c>
      <c r="D115" s="113" t="str">
        <f>D88</f>
        <v>m3ktr</v>
      </c>
      <c r="G115" s="112" t="str">
        <f>IF(ISNUMBER(G88),G88,"")</f>
        <v/>
      </c>
      <c r="H115" s="84" t="str">
        <f>IF(D115="t","t/t","t/m3")</f>
        <v>t/m3</v>
      </c>
      <c r="I115" s="84"/>
      <c r="J115" s="173" t="s">
        <v>441</v>
      </c>
      <c r="K115" s="96">
        <f>IF(ISNUMBER(L115),L115,IF(OR(C116=Pudotusvalikot!$D$14,C116=Pudotusvalikot!$D$15),Kalusto!$G$96,VLOOKUP(C116,Kalusto!$C$44:$G$83,5,FALSE))*IF(OR(C117=Pudotusvalikot!$V$3,C117=Pudotusvalikot!$V$4),Muut!$E$38,IF(C117=Pudotusvalikot!$V$5,Muut!$E$39,IF(C117=Pudotusvalikot!$V$6,Muut!$E$40,Muut!$E$41))))</f>
        <v>6.1090000000000005E-2</v>
      </c>
      <c r="L115" s="40"/>
      <c r="M115" s="41" t="s">
        <v>200</v>
      </c>
      <c r="N115" s="41"/>
      <c r="O115" s="265"/>
      <c r="P115" s="149"/>
      <c r="Q115" s="104"/>
      <c r="R115" s="50" t="str">
        <f ca="1">IF(AND(NOT(ISNUMBER(AB115)),NOT(ISNUMBER(AG115))),"",IF(ISNUMBER(AB115),AB115,0)+IF(ISNUMBER(AG115),AG115,0))</f>
        <v/>
      </c>
      <c r="S115" s="102" t="s">
        <v>172</v>
      </c>
      <c r="T115" s="48" t="str">
        <f>IF(ISNUMBER(L115),"Kohdetieto",IF(OR(C116=Pudotusvalikot!$D$14,C116=Pudotusvalikot!$D$15),Kalusto!$I$96,VLOOKUP(C116,Kalusto!$C$44:$L$83,7,FALSE)))</f>
        <v>Maansiirtoauto</v>
      </c>
      <c r="U115" s="48">
        <f>IF(ISNUMBER(L115),"Kohdetieto",IF(OR(C116=Pudotusvalikot!$D$14,C116=Pudotusvalikot!$D$15),Kalusto!$J$96,VLOOKUP(C116,Kalusto!$C$44:$L$83,8,FALSE)))</f>
        <v>32</v>
      </c>
      <c r="V115" s="49">
        <f>IF(ISNUMBER(L115),"Kohdetieto",IF(OR(C116=Pudotusvalikot!$D$14,C116=Pudotusvalikot!$D$15),Kalusto!$K$96,VLOOKUP(C116,Kalusto!$C$44:$L$83,9,FALSE)))</f>
        <v>0.8</v>
      </c>
      <c r="W115" s="49" t="str">
        <f>IF(ISNUMBER(L115),"Kohdetieto",IF(OR(C116=Pudotusvalikot!$D$14,C116=Pudotusvalikot!$D$15),Kalusto!$L$96,VLOOKUP(C116,Kalusto!$C$44:$L$83,10,FALSE)))</f>
        <v>maantieajo</v>
      </c>
      <c r="X115" s="50" t="str">
        <f>IF(ISBLANK(C115),"",IF(D115="t",C115,IF(ISNUMBER(C115*G115),C115*G115,"")))</f>
        <v/>
      </c>
      <c r="Y115" s="48" t="str">
        <f>IF(ISNUMBER(C118),C118,"")</f>
        <v/>
      </c>
      <c r="Z115" s="50" t="str">
        <f>IF(ISNUMBER(X115/(U115*V115)*Y115),X115/(U115*V115)*Y115,"")</f>
        <v/>
      </c>
      <c r="AA115" s="51">
        <f>IF(ISNUMBER(L115),L115,K115)</f>
        <v>6.1090000000000005E-2</v>
      </c>
      <c r="AB115" s="50" t="str">
        <f>IF(ISNUMBER(Y115*X115*K115),Y115*X115*K115,"")</f>
        <v/>
      </c>
      <c r="AC115" s="50" t="str">
        <f>IF(C120="Kyllä",Y115,"")</f>
        <v/>
      </c>
      <c r="AD115" s="50" t="str">
        <f>IF(C120="Kyllä",IF(ISNUMBER(X115/(U115*V115)),X115/(U115*V115),""),"")</f>
        <v/>
      </c>
      <c r="AE115" s="50" t="str">
        <f>IF(ISNUMBER(AD115*AC115),AD115*AC115,"")</f>
        <v/>
      </c>
      <c r="AF115" s="51">
        <f ca="1">IF(ISNUMBER(L116),L116,K116)</f>
        <v>0.71940999999999999</v>
      </c>
      <c r="AG115" s="50" t="str">
        <f ca="1">IF(ISNUMBER(AC115*AD115*K116),AC115*AD115*K116,"")</f>
        <v/>
      </c>
      <c r="AH115" s="48">
        <f>IF(T115="Jakelukuorma-auto",0,IF(T115="Maansiirtoauto",4,IF(T115="Puoliperävaunu",6,8)))</f>
        <v>4</v>
      </c>
      <c r="AI115" s="48">
        <f>IF(AND(T115="Jakelukuorma-auto",U115=6),0,IF(AND(T115="Jakelukuorma-auto",U115=15),2,0))</f>
        <v>0</v>
      </c>
      <c r="AJ115" s="48">
        <f>IF(W115="maantieajo",0,1)</f>
        <v>0</v>
      </c>
      <c r="AK115" s="108"/>
      <c r="AL115" s="36"/>
      <c r="AM115" s="36"/>
      <c r="AN115" s="37"/>
      <c r="AO115" s="37"/>
      <c r="AP115" s="37"/>
      <c r="AQ115" s="37"/>
      <c r="AR115" s="37"/>
      <c r="AS115" s="37"/>
      <c r="AT115" s="37"/>
      <c r="AU115" s="37"/>
      <c r="AV115" s="37"/>
      <c r="AW115" s="37"/>
      <c r="AX115" s="37"/>
      <c r="AY115" s="37"/>
      <c r="AZ115" s="37"/>
      <c r="BA115" s="37"/>
      <c r="BB115" s="37"/>
      <c r="BC115" s="37"/>
      <c r="BD115" s="37"/>
      <c r="BE115" s="37"/>
      <c r="BF115" s="108"/>
      <c r="BG115" s="108"/>
    </row>
    <row r="116" spans="2:59" s="31" customFormat="1" ht="46.5" x14ac:dyDescent="0.3">
      <c r="B116" s="170" t="s">
        <v>512</v>
      </c>
      <c r="C116" s="392" t="s">
        <v>84</v>
      </c>
      <c r="D116" s="393"/>
      <c r="E116" s="393"/>
      <c r="F116" s="393"/>
      <c r="G116" s="394"/>
      <c r="H116" s="84"/>
      <c r="I116" s="84"/>
      <c r="J116" s="33" t="s">
        <v>442</v>
      </c>
      <c r="K116" s="96">
        <f ca="1">IF(ISNUMBER(L116),L116,IF($C$138="Ei","",IF(AND($C$138="Kyllä",OR(C116=Pudotusvalikot!$D$14,C116=Pudotusvalikot!$D$15)),Kalusto!$G$97,OFFSET(Kalusto!$G$85,AH115+AJ115+AI115,0,1,1)))*IF(OR(C117=Pudotusvalikot!$V$3,C117=Pudotusvalikot!$V$4),Muut!$E$38,IF(C117=Pudotusvalikot!$V$5,Muut!$E$39,IF(C117=Pudotusvalikot!$V$6,Muut!$E$40,Muut!$E$41))))</f>
        <v>0.71940999999999999</v>
      </c>
      <c r="L116" s="40"/>
      <c r="M116" s="41" t="s">
        <v>204</v>
      </c>
      <c r="N116" s="41"/>
      <c r="O116" s="265"/>
      <c r="P116" s="147"/>
      <c r="Q116" s="105"/>
      <c r="R116" s="99"/>
      <c r="S116" s="36"/>
      <c r="T116" s="36"/>
      <c r="U116" s="36"/>
      <c r="V116" s="36"/>
      <c r="W116" s="36"/>
      <c r="X116" s="36"/>
      <c r="Y116" s="36"/>
      <c r="Z116" s="36"/>
      <c r="AA116" s="36"/>
      <c r="AB116" s="36"/>
      <c r="AC116" s="36"/>
      <c r="AD116" s="36"/>
      <c r="AE116" s="36"/>
      <c r="AF116" s="36"/>
      <c r="AG116" s="36"/>
      <c r="AH116" s="36"/>
      <c r="AI116" s="36"/>
      <c r="AJ116" s="36"/>
      <c r="AK116" s="36"/>
      <c r="AL116" s="36"/>
      <c r="AM116" s="36"/>
      <c r="AN116" s="37"/>
      <c r="AO116" s="37"/>
      <c r="AP116" s="37"/>
      <c r="AQ116" s="37"/>
      <c r="AR116" s="37"/>
      <c r="AS116" s="37"/>
      <c r="AT116" s="37"/>
      <c r="AU116" s="37"/>
      <c r="AV116" s="37"/>
      <c r="AW116" s="37"/>
      <c r="AX116" s="37"/>
      <c r="AY116" s="37"/>
      <c r="AZ116" s="37"/>
      <c r="BA116" s="37"/>
      <c r="BB116" s="37"/>
      <c r="BC116" s="37"/>
      <c r="BD116" s="37"/>
      <c r="BE116" s="37"/>
      <c r="BF116" s="108"/>
      <c r="BG116" s="108"/>
    </row>
    <row r="117" spans="2:59" s="31" customFormat="1" ht="15.5" x14ac:dyDescent="0.3">
      <c r="B117" s="186" t="s">
        <v>506</v>
      </c>
      <c r="C117" s="160" t="s">
        <v>242</v>
      </c>
      <c r="D117" s="34"/>
      <c r="E117" s="34"/>
      <c r="F117" s="34"/>
      <c r="G117" s="34"/>
      <c r="H117" s="59"/>
      <c r="J117" s="173"/>
      <c r="K117" s="173"/>
      <c r="L117" s="173"/>
      <c r="M117" s="41"/>
      <c r="N117" s="41"/>
      <c r="O117" s="265"/>
      <c r="Q117" s="47"/>
      <c r="R117" s="102"/>
      <c r="S117" s="102"/>
      <c r="T117" s="36"/>
      <c r="U117" s="36"/>
      <c r="V117" s="181"/>
      <c r="W117" s="181"/>
      <c r="X117" s="61"/>
      <c r="Y117" s="36"/>
      <c r="Z117" s="61"/>
      <c r="AA117" s="182"/>
      <c r="AB117" s="61"/>
      <c r="AC117" s="61"/>
      <c r="AD117" s="61"/>
      <c r="AE117" s="61"/>
      <c r="AF117" s="182"/>
      <c r="AG117" s="61"/>
      <c r="AH117" s="36"/>
      <c r="AI117" s="36"/>
      <c r="AJ117" s="36"/>
      <c r="AK117" s="108"/>
      <c r="AL117" s="36"/>
      <c r="AM117" s="36"/>
      <c r="AN117" s="37"/>
      <c r="AO117" s="37"/>
      <c r="AP117" s="37"/>
      <c r="AQ117" s="37"/>
      <c r="AR117" s="37"/>
      <c r="AS117" s="37"/>
      <c r="AT117" s="37"/>
      <c r="AU117" s="37"/>
      <c r="AV117" s="37"/>
      <c r="AW117" s="37"/>
      <c r="AX117" s="37"/>
      <c r="AY117" s="37"/>
      <c r="AZ117" s="37"/>
      <c r="BA117" s="37"/>
      <c r="BB117" s="37"/>
      <c r="BC117" s="37"/>
      <c r="BD117" s="37"/>
      <c r="BE117" s="37"/>
    </row>
    <row r="118" spans="2:59" s="31" customFormat="1" ht="15.5" x14ac:dyDescent="0.3">
      <c r="B118" s="45" t="s">
        <v>525</v>
      </c>
      <c r="C118" s="162"/>
      <c r="D118" s="84" t="s">
        <v>5</v>
      </c>
      <c r="G118" s="34"/>
      <c r="H118" s="84"/>
      <c r="I118" s="84"/>
      <c r="J118" s="33"/>
      <c r="K118" s="34"/>
      <c r="L118" s="34"/>
      <c r="M118" s="84"/>
      <c r="N118" s="84"/>
      <c r="O118" s="100"/>
      <c r="P118" s="150"/>
      <c r="Q118" s="105"/>
      <c r="R118" s="99"/>
      <c r="S118" s="36"/>
      <c r="T118" s="36"/>
      <c r="U118" s="36"/>
      <c r="V118" s="36"/>
      <c r="W118" s="36"/>
      <c r="X118" s="36"/>
      <c r="Y118" s="36"/>
      <c r="Z118" s="36"/>
      <c r="AA118" s="36"/>
      <c r="AB118" s="36"/>
      <c r="AC118" s="36"/>
      <c r="AD118" s="36"/>
      <c r="AE118" s="36"/>
      <c r="AF118" s="36"/>
      <c r="AG118" s="36"/>
      <c r="AH118" s="36"/>
      <c r="AI118" s="36"/>
      <c r="AJ118" s="36"/>
      <c r="AK118" s="36"/>
      <c r="AL118" s="36"/>
      <c r="AM118" s="36"/>
      <c r="AN118" s="37"/>
      <c r="AO118" s="37"/>
      <c r="AP118" s="37"/>
      <c r="AQ118" s="37"/>
      <c r="AR118" s="37"/>
      <c r="AS118" s="37"/>
      <c r="AT118" s="37"/>
      <c r="AU118" s="37"/>
      <c r="AV118" s="37"/>
      <c r="AW118" s="37"/>
      <c r="AX118" s="37"/>
      <c r="AY118" s="37"/>
      <c r="AZ118" s="37"/>
      <c r="BA118" s="37"/>
      <c r="BB118" s="37"/>
      <c r="BC118" s="37"/>
      <c r="BD118" s="37"/>
      <c r="BE118" s="37"/>
      <c r="BF118" s="108"/>
      <c r="BG118" s="108"/>
    </row>
    <row r="119" spans="2:59" s="31" customFormat="1" ht="15.5" x14ac:dyDescent="0.3">
      <c r="C119" s="34"/>
      <c r="D119" s="84"/>
      <c r="G119" s="34"/>
      <c r="H119" s="84"/>
      <c r="I119" s="84"/>
      <c r="J119" s="33"/>
      <c r="K119" s="34"/>
      <c r="L119" s="34"/>
      <c r="M119" s="84"/>
      <c r="N119" s="84"/>
      <c r="O119" s="100"/>
      <c r="P119" s="69"/>
      <c r="Q119" s="37"/>
      <c r="R119" s="99"/>
      <c r="S119" s="36"/>
      <c r="T119" s="36"/>
      <c r="U119" s="36"/>
      <c r="V119" s="36"/>
      <c r="W119" s="36"/>
      <c r="X119" s="36"/>
      <c r="Y119" s="36"/>
      <c r="Z119" s="36"/>
      <c r="AA119" s="36"/>
      <c r="AB119" s="36"/>
      <c r="AC119" s="36"/>
      <c r="AD119" s="36"/>
      <c r="AE119" s="36"/>
      <c r="AF119" s="36"/>
      <c r="AG119" s="36"/>
      <c r="AH119" s="36"/>
      <c r="AI119" s="36"/>
      <c r="AJ119" s="36"/>
      <c r="AK119" s="36"/>
      <c r="AL119" s="36"/>
      <c r="AM119" s="36"/>
      <c r="AN119" s="37"/>
      <c r="AO119" s="37"/>
      <c r="AP119" s="37"/>
      <c r="AQ119" s="37"/>
      <c r="AR119" s="37"/>
      <c r="AS119" s="37"/>
      <c r="AT119" s="37"/>
      <c r="AU119" s="37"/>
      <c r="AV119" s="37"/>
      <c r="AW119" s="37"/>
      <c r="AX119" s="37"/>
      <c r="AY119" s="37"/>
      <c r="AZ119" s="37"/>
      <c r="BA119" s="37"/>
      <c r="BB119" s="37"/>
      <c r="BC119" s="37"/>
      <c r="BD119" s="37"/>
      <c r="BE119" s="37"/>
      <c r="BF119" s="108"/>
      <c r="BG119" s="108"/>
    </row>
    <row r="120" spans="2:59" s="31" customFormat="1" ht="62" x14ac:dyDescent="0.3">
      <c r="B120" s="78" t="s">
        <v>668</v>
      </c>
      <c r="C120" s="392" t="s">
        <v>6</v>
      </c>
      <c r="D120" s="394"/>
      <c r="G120" s="34"/>
      <c r="H120" s="84"/>
      <c r="J120" s="33"/>
      <c r="K120" s="34"/>
      <c r="L120" s="34"/>
      <c r="M120" s="84"/>
      <c r="N120" s="84"/>
      <c r="O120" s="100"/>
      <c r="P120" s="69"/>
      <c r="Q120" s="37"/>
      <c r="R120" s="99"/>
      <c r="S120" s="36"/>
      <c r="T120" s="36"/>
      <c r="U120" s="36"/>
      <c r="V120" s="36"/>
      <c r="W120" s="36"/>
      <c r="X120" s="36"/>
      <c r="Y120" s="36"/>
      <c r="Z120" s="36"/>
      <c r="AA120" s="36"/>
      <c r="AB120" s="36"/>
      <c r="AC120" s="36"/>
      <c r="AD120" s="36"/>
      <c r="AE120" s="36"/>
      <c r="AF120" s="36"/>
      <c r="AG120" s="36"/>
      <c r="AH120" s="36"/>
      <c r="AI120" s="36"/>
      <c r="AJ120" s="36"/>
      <c r="AK120" s="36"/>
      <c r="AL120" s="36"/>
      <c r="AM120" s="36"/>
      <c r="AN120" s="37"/>
      <c r="AO120" s="37"/>
      <c r="AP120" s="37"/>
      <c r="AQ120" s="37"/>
      <c r="AR120" s="37"/>
      <c r="AS120" s="37"/>
      <c r="AT120" s="37"/>
      <c r="AU120" s="37"/>
      <c r="AV120" s="37"/>
      <c r="AW120" s="37"/>
      <c r="AX120" s="37"/>
      <c r="AY120" s="37"/>
      <c r="AZ120" s="37"/>
      <c r="BA120" s="37"/>
      <c r="BB120" s="37"/>
      <c r="BC120" s="37"/>
      <c r="BD120" s="37"/>
      <c r="BE120" s="37"/>
      <c r="BF120" s="108"/>
      <c r="BG120" s="108"/>
    </row>
    <row r="121" spans="2:59" s="31" customFormat="1" ht="15.5" x14ac:dyDescent="0.3">
      <c r="C121" s="34"/>
      <c r="D121" s="84"/>
      <c r="G121" s="34"/>
      <c r="H121" s="84"/>
      <c r="J121" s="33"/>
      <c r="K121" s="34"/>
      <c r="L121" s="34"/>
      <c r="M121" s="84"/>
      <c r="N121" s="84"/>
      <c r="O121" s="84"/>
      <c r="Q121" s="35"/>
      <c r="R121" s="99"/>
      <c r="S121" s="36"/>
      <c r="T121" s="36"/>
      <c r="U121" s="36"/>
      <c r="V121" s="36"/>
      <c r="W121" s="36"/>
      <c r="X121" s="36"/>
      <c r="Y121" s="36"/>
      <c r="Z121" s="36"/>
      <c r="AA121" s="36"/>
      <c r="AB121" s="36"/>
      <c r="AC121" s="36"/>
      <c r="AD121" s="36"/>
      <c r="AE121" s="36"/>
      <c r="AF121" s="36"/>
      <c r="AG121" s="36"/>
      <c r="AH121" s="36"/>
      <c r="AI121" s="36"/>
      <c r="AJ121" s="36"/>
      <c r="AK121" s="36"/>
      <c r="AL121" s="36"/>
      <c r="AM121" s="36"/>
      <c r="AN121" s="37"/>
      <c r="AO121" s="37"/>
      <c r="AP121" s="37"/>
      <c r="AQ121" s="37"/>
      <c r="AR121" s="37"/>
      <c r="AS121" s="37"/>
      <c r="AT121" s="37"/>
      <c r="AU121" s="37"/>
      <c r="AV121" s="37"/>
      <c r="AW121" s="37"/>
      <c r="AX121" s="37"/>
      <c r="AY121" s="37"/>
      <c r="AZ121" s="37"/>
      <c r="BA121" s="37"/>
      <c r="BB121" s="37"/>
      <c r="BC121" s="37"/>
      <c r="BD121" s="37"/>
      <c r="BE121" s="37"/>
    </row>
    <row r="122" spans="2:59" s="298" customFormat="1" ht="18" x14ac:dyDescent="0.3">
      <c r="B122" s="295" t="s">
        <v>610</v>
      </c>
      <c r="C122" s="296"/>
      <c r="D122" s="297"/>
      <c r="G122" s="296"/>
      <c r="H122" s="297"/>
      <c r="K122" s="296"/>
      <c r="L122" s="296"/>
      <c r="M122" s="297"/>
      <c r="N122" s="297"/>
      <c r="O122" s="300"/>
      <c r="P122" s="320"/>
      <c r="Q122" s="304"/>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4"/>
      <c r="AO122" s="304"/>
      <c r="AP122" s="304"/>
      <c r="AQ122" s="304"/>
      <c r="AR122" s="304"/>
      <c r="AS122" s="304"/>
      <c r="AT122" s="304"/>
      <c r="AU122" s="304"/>
      <c r="AV122" s="304"/>
      <c r="AW122" s="304"/>
      <c r="AX122" s="304"/>
      <c r="AY122" s="304"/>
      <c r="AZ122" s="304"/>
      <c r="BA122" s="304"/>
      <c r="BB122" s="304"/>
      <c r="BC122" s="304"/>
      <c r="BD122" s="304"/>
      <c r="BE122" s="304"/>
    </row>
    <row r="123" spans="2:59" s="31" customFormat="1" ht="15.5" x14ac:dyDescent="0.3">
      <c r="C123" s="34"/>
      <c r="D123" s="84"/>
      <c r="G123" s="34"/>
      <c r="H123" s="84"/>
      <c r="J123" s="33"/>
      <c r="K123" s="34"/>
      <c r="L123" s="34"/>
      <c r="M123" s="84"/>
      <c r="N123" s="84"/>
      <c r="O123" s="84"/>
      <c r="Q123" s="35"/>
      <c r="R123" s="99"/>
      <c r="S123" s="36"/>
      <c r="T123" s="36"/>
      <c r="U123" s="36"/>
      <c r="V123" s="36"/>
      <c r="W123" s="36"/>
      <c r="X123" s="36"/>
      <c r="Y123" s="36"/>
      <c r="Z123" s="36"/>
      <c r="AA123" s="36"/>
      <c r="AB123" s="36"/>
      <c r="AC123" s="36"/>
      <c r="AD123" s="36"/>
      <c r="AE123" s="36"/>
      <c r="AF123" s="36"/>
      <c r="AG123" s="36"/>
      <c r="AH123" s="36"/>
      <c r="AI123" s="36"/>
      <c r="AJ123" s="36"/>
      <c r="AK123" s="36"/>
      <c r="AL123" s="36"/>
      <c r="AM123" s="36"/>
      <c r="AN123" s="37"/>
      <c r="AO123" s="37"/>
      <c r="AP123" s="37"/>
      <c r="AQ123" s="37"/>
      <c r="AR123" s="37"/>
      <c r="AS123" s="37"/>
      <c r="AT123" s="37"/>
      <c r="AU123" s="37"/>
      <c r="AV123" s="37"/>
      <c r="AW123" s="37"/>
      <c r="AX123" s="37"/>
      <c r="AY123" s="37"/>
      <c r="AZ123" s="37"/>
      <c r="BA123" s="37"/>
      <c r="BB123" s="37"/>
      <c r="BC123" s="37"/>
      <c r="BD123" s="37"/>
      <c r="BE123" s="37"/>
    </row>
    <row r="124" spans="2:59" s="31" customFormat="1" ht="15.5" x14ac:dyDescent="0.3">
      <c r="B124" s="164" t="s">
        <v>611</v>
      </c>
      <c r="C124" s="34"/>
      <c r="D124" s="84"/>
      <c r="G124" s="34"/>
      <c r="H124" s="84"/>
      <c r="K124" s="38"/>
      <c r="L124" s="38"/>
      <c r="M124" s="84"/>
      <c r="N124" s="84"/>
      <c r="O124" s="255" t="s">
        <v>644</v>
      </c>
      <c r="Q124" s="35"/>
      <c r="R124" s="99"/>
      <c r="S124" s="36"/>
      <c r="T124" s="36"/>
      <c r="U124" s="36"/>
      <c r="V124" s="36"/>
      <c r="W124" s="36"/>
      <c r="X124" s="36"/>
      <c r="Y124" s="36"/>
      <c r="Z124" s="36"/>
      <c r="AA124" s="36"/>
      <c r="AB124" s="36"/>
      <c r="AC124" s="36"/>
      <c r="AD124" s="36"/>
      <c r="AE124" s="36"/>
      <c r="AF124" s="36"/>
      <c r="AG124" s="36"/>
      <c r="AH124" s="36"/>
      <c r="AI124" s="36"/>
      <c r="AJ124" s="36"/>
      <c r="AK124" s="36"/>
      <c r="AL124" s="36"/>
      <c r="AM124" s="36"/>
      <c r="AN124" s="37"/>
      <c r="AO124" s="37"/>
      <c r="AP124" s="37"/>
      <c r="AQ124" s="37"/>
      <c r="AR124" s="37"/>
      <c r="AS124" s="37"/>
      <c r="AT124" s="37"/>
      <c r="AU124" s="37"/>
      <c r="AV124" s="37"/>
      <c r="AW124" s="37"/>
      <c r="AX124" s="37"/>
      <c r="AY124" s="37"/>
      <c r="AZ124" s="37"/>
      <c r="BA124" s="37"/>
      <c r="BB124" s="37"/>
      <c r="BC124" s="37"/>
      <c r="BD124" s="37"/>
      <c r="BE124" s="37"/>
    </row>
    <row r="125" spans="2:59" s="31" customFormat="1" ht="46.5" x14ac:dyDescent="0.3">
      <c r="B125" s="78" t="s">
        <v>726</v>
      </c>
      <c r="C125" s="395" t="s">
        <v>111</v>
      </c>
      <c r="D125" s="395"/>
      <c r="E125" s="34"/>
      <c r="G125" s="34"/>
      <c r="H125" s="84"/>
      <c r="K125" s="38" t="s">
        <v>329</v>
      </c>
      <c r="L125" s="38" t="s">
        <v>201</v>
      </c>
      <c r="M125" s="84" t="s">
        <v>319</v>
      </c>
      <c r="N125" s="84"/>
      <c r="O125" s="256"/>
      <c r="Q125" s="35"/>
      <c r="R125" s="36" t="s">
        <v>350</v>
      </c>
      <c r="S125" s="36"/>
      <c r="T125" s="108"/>
      <c r="U125" s="36"/>
      <c r="V125" s="36"/>
      <c r="W125" s="36"/>
      <c r="X125" s="36"/>
      <c r="Y125" s="36"/>
      <c r="Z125" s="36"/>
      <c r="AA125" s="36"/>
      <c r="AB125" s="36"/>
      <c r="AC125" s="36"/>
      <c r="AD125" s="36"/>
      <c r="AE125" s="36"/>
      <c r="AF125" s="36"/>
      <c r="AG125" s="36"/>
      <c r="AH125" s="36"/>
      <c r="AI125" s="36"/>
      <c r="AJ125" s="36"/>
      <c r="AK125" s="36"/>
      <c r="AL125" s="36"/>
      <c r="AM125" s="36"/>
      <c r="AN125" s="37"/>
      <c r="AO125" s="37"/>
      <c r="AP125" s="37"/>
      <c r="AQ125" s="37"/>
      <c r="AR125" s="37"/>
      <c r="AS125" s="37"/>
      <c r="AT125" s="37"/>
      <c r="AU125" s="37"/>
      <c r="AV125" s="37"/>
      <c r="AW125" s="37"/>
      <c r="AX125" s="37"/>
      <c r="AY125" s="37"/>
      <c r="AZ125" s="37"/>
      <c r="BA125" s="37"/>
      <c r="BB125" s="37"/>
      <c r="BC125" s="37"/>
      <c r="BD125" s="37"/>
      <c r="BE125" s="37"/>
    </row>
    <row r="126" spans="2:59" s="31" customFormat="1" ht="15.5" x14ac:dyDescent="0.3">
      <c r="B126" s="54" t="s">
        <v>599</v>
      </c>
      <c r="C126" s="162"/>
      <c r="D126" s="84" t="str">
        <f>IF(C125=Pudotusvalikot!$L$14,"Yksikkö",IF(C125=Pudotusvalikot!$L$15,Pudotusvalikot!$M$15,IF(C125=Pudotusvalikot!$L$16,Pudotusvalikot!$M$16,IF(C125=Pudotusvalikot!$L$17,Pudotusvalikot!$M$17,IF(C125=Pudotusvalikot!$L$18,Pudotusvalikot!$M$18,IF(C125=Pudotusvalikot!$L$19,Pudotusvalikot!$M$19,IF(C125=Pudotusvalikot!$L$20,Pudotusvalikot!$M$20,IF(C125=Pudotusvalikot!$L$21,Pudotusvalikot!$M$21,IF(C125=Pudotusvalikot!$L$22,Pudotusvalikot!$M$22,IF(C125=Pudotusvalikot!$L$23,Pudotusvalikot!$M$23,IF(C125=Pudotusvalikot!$L$24,Pudotusvalikot!$M$24,IF(C125=Pudotusvalikot!$L$25,Pudotusvalikot!$M$25,IF(C125=Pudotusvalikot!$L$26,Pudotusvalikot!$M$26,IF(C125=Pudotusvalikot!$L$27,Pudotusvalikot!$M$27,IF(C125=Pudotusvalikot!$L$28,Pudotusvalikot!$M$28,"Yksikkö")))))))))))))))</f>
        <v>Yksikkö</v>
      </c>
      <c r="E126" s="34"/>
      <c r="F126" s="34"/>
      <c r="G126" s="34"/>
      <c r="H126" s="84"/>
      <c r="J126" s="33" t="s">
        <v>364</v>
      </c>
      <c r="K126" s="96" t="str">
        <f>IF(ISNUMBER(L126),L126,IF(C125=Pudotusvalikot!$L$14,"--",IF(C125=Pudotusvalikot!$L$15,Materiaalit!$G$98,IF(C125=Pudotusvalikot!$L$16,Materiaalit!$G$99,IF(C125=Pudotusvalikot!$L$17,Materiaalit!$G$100,IF(C125=Pudotusvalikot!$L$18,Materiaalit!$G$101,IF(C125=Pudotusvalikot!$L$19,Materiaalit!$G$102,IF(C125=Pudotusvalikot!$L$20,Materiaalit!$G$103,IF(C125=Pudotusvalikot!$L$21,Materiaalit!$G$104,IF(C125=Pudotusvalikot!$L$22,Materiaalit!$G$105,IF(C125=Pudotusvalikot!$L$23,Materiaalit!$G$106,IF(C125=Pudotusvalikot!$L$24,Materiaalit!$G$107,IF(C125=Pudotusvalikot!$L$25,Materiaalit!$G$108,IF(C125=Pudotusvalikot!$L$26,Materiaalit!$G$109,IF(C125=Pudotusvalikot!$L$27,Materiaalit!$G$110,IF(C125=Pudotusvalikot!$L$28,Materiaalit!$G$111,"Anna kerroin"))))))))))))))))</f>
        <v>--</v>
      </c>
      <c r="L126" s="40"/>
      <c r="M126" s="96" t="str">
        <f>IF(D126="Yksikkö","--","kgCO2e/" &amp;D126)</f>
        <v>--</v>
      </c>
      <c r="N126" s="42"/>
      <c r="O126" s="267"/>
      <c r="Q126" s="35"/>
      <c r="R126" s="50" t="str">
        <f>IF(NOT(AND(ISNUMBER(K126),ISNUMBER(C126))),"",C126*K126*IF(C125=Pudotusvalikot!$L$14,1,IF(C125=Pudotusvalikot!$L$15,Materiaalit!$K$98,IF(C125=Pudotusvalikot!$L$16,Materiaalit!$K$99,IF(C125=Pudotusvalikot!$L$17,Materiaalit!$K$100,IF(C125=Pudotusvalikot!$L$18,Materiaalit!$K$101,IF(C125=Pudotusvalikot!$L$19,Materiaalit!$K$102,IF(C125=Pudotusvalikot!$L$20,Materiaalit!$K$103,IF(C125=Pudotusvalikot!$L$21,Materiaalit!$K$104,IF(C125=Pudotusvalikot!$L$22,Materiaalit!$K$105,IF(C125=Pudotusvalikot!$L$23,Materiaalit!$K$106,IF(C125=Pudotusvalikot!$L$24,Materiaalit!$K$107,IF(C125=Pudotusvalikot!$L$25,Materiaalit!$K$108,IF(C125=Pudotusvalikot!$L$26,Materiaalit!$K$109,IF(C125=Pudotusvalikot!$L$27,Materiaalit!$K$110,Materiaalit!$K$111)))))))))))))))</f>
        <v/>
      </c>
      <c r="S126" s="102" t="s">
        <v>172</v>
      </c>
      <c r="T126" s="108"/>
      <c r="U126" s="36"/>
      <c r="V126" s="36"/>
      <c r="W126" s="36"/>
      <c r="X126" s="36"/>
      <c r="Y126" s="36"/>
      <c r="Z126" s="36"/>
      <c r="AA126" s="36"/>
      <c r="AB126" s="36"/>
      <c r="AC126" s="36"/>
      <c r="AD126" s="36"/>
      <c r="AE126" s="36"/>
      <c r="AF126" s="36"/>
      <c r="AG126" s="36"/>
      <c r="AH126" s="36"/>
      <c r="AI126" s="36"/>
      <c r="AJ126" s="36"/>
      <c r="AK126" s="36"/>
      <c r="AL126" s="36"/>
      <c r="AM126" s="36"/>
      <c r="AN126" s="37"/>
      <c r="AO126" s="37"/>
      <c r="AP126" s="37"/>
      <c r="AQ126" s="37"/>
      <c r="AR126" s="37"/>
      <c r="AS126" s="37"/>
      <c r="AT126" s="37"/>
      <c r="AU126" s="37"/>
      <c r="AV126" s="37"/>
      <c r="AW126" s="37"/>
      <c r="AX126" s="37"/>
      <c r="AY126" s="37"/>
      <c r="AZ126" s="37"/>
      <c r="BA126" s="37"/>
      <c r="BB126" s="37"/>
      <c r="BC126" s="37"/>
      <c r="BD126" s="37"/>
      <c r="BE126" s="37"/>
    </row>
    <row r="127" spans="2:59" s="31" customFormat="1" ht="15.5" x14ac:dyDescent="0.3">
      <c r="B127" s="164" t="s">
        <v>612</v>
      </c>
      <c r="C127" s="34"/>
      <c r="D127" s="84"/>
      <c r="E127" s="34"/>
      <c r="G127" s="34"/>
      <c r="H127" s="84"/>
      <c r="J127" s="33"/>
      <c r="K127" s="38"/>
      <c r="L127" s="38"/>
      <c r="M127" s="38"/>
      <c r="N127" s="38"/>
      <c r="O127" s="268"/>
      <c r="Q127" s="35"/>
      <c r="R127" s="61"/>
      <c r="S127" s="36"/>
      <c r="T127" s="108"/>
      <c r="U127" s="36"/>
      <c r="V127" s="36"/>
      <c r="W127" s="36"/>
      <c r="X127" s="36"/>
      <c r="Y127" s="36"/>
      <c r="Z127" s="36"/>
      <c r="AA127" s="36"/>
      <c r="AB127" s="36"/>
      <c r="AC127" s="36"/>
      <c r="AD127" s="36"/>
      <c r="AE127" s="36"/>
      <c r="AF127" s="36"/>
      <c r="AG127" s="36"/>
      <c r="AH127" s="36"/>
      <c r="AI127" s="36"/>
      <c r="AJ127" s="36"/>
      <c r="AK127" s="36"/>
      <c r="AL127" s="36"/>
      <c r="AM127" s="36"/>
      <c r="AN127" s="37"/>
      <c r="AO127" s="37"/>
      <c r="AP127" s="37"/>
      <c r="AQ127" s="37"/>
      <c r="AR127" s="37"/>
      <c r="AS127" s="37"/>
      <c r="AT127" s="37"/>
      <c r="AU127" s="37"/>
      <c r="AV127" s="37"/>
      <c r="AW127" s="37"/>
      <c r="AX127" s="37"/>
      <c r="AY127" s="37"/>
      <c r="AZ127" s="37"/>
      <c r="BA127" s="37"/>
      <c r="BB127" s="37"/>
      <c r="BC127" s="37"/>
      <c r="BD127" s="37"/>
      <c r="BE127" s="37"/>
    </row>
    <row r="128" spans="2:59" s="31" customFormat="1" ht="46.5" x14ac:dyDescent="0.3">
      <c r="B128" s="78" t="s">
        <v>726</v>
      </c>
      <c r="C128" s="395" t="s">
        <v>111</v>
      </c>
      <c r="D128" s="395"/>
      <c r="E128" s="34"/>
      <c r="G128" s="34"/>
      <c r="H128" s="84"/>
      <c r="J128" s="33"/>
      <c r="K128" s="38" t="s">
        <v>329</v>
      </c>
      <c r="L128" s="38" t="s">
        <v>201</v>
      </c>
      <c r="M128" s="38" t="s">
        <v>319</v>
      </c>
      <c r="N128" s="38"/>
      <c r="O128" s="268"/>
      <c r="Q128" s="35"/>
      <c r="R128" s="36" t="s">
        <v>350</v>
      </c>
      <c r="S128" s="36"/>
      <c r="T128" s="108"/>
      <c r="U128" s="36"/>
      <c r="V128" s="36"/>
      <c r="W128" s="36"/>
      <c r="X128" s="36"/>
      <c r="Y128" s="36"/>
      <c r="Z128" s="36"/>
      <c r="AA128" s="36"/>
      <c r="AB128" s="36"/>
      <c r="AC128" s="36"/>
      <c r="AD128" s="36"/>
      <c r="AE128" s="36"/>
      <c r="AF128" s="36"/>
      <c r="AG128" s="36"/>
      <c r="AH128" s="36"/>
      <c r="AI128" s="36"/>
      <c r="AJ128" s="36"/>
      <c r="AK128" s="36"/>
      <c r="AL128" s="36"/>
      <c r="AM128" s="36"/>
      <c r="AN128" s="37"/>
      <c r="AO128" s="37"/>
      <c r="AP128" s="37"/>
      <c r="AQ128" s="37"/>
      <c r="AR128" s="37"/>
      <c r="AS128" s="37"/>
      <c r="AT128" s="37"/>
      <c r="AU128" s="37"/>
      <c r="AV128" s="37"/>
      <c r="AW128" s="37"/>
      <c r="AX128" s="37"/>
      <c r="AY128" s="37"/>
      <c r="AZ128" s="37"/>
      <c r="BA128" s="37"/>
      <c r="BB128" s="37"/>
      <c r="BC128" s="37"/>
      <c r="BD128" s="37"/>
      <c r="BE128" s="37"/>
    </row>
    <row r="129" spans="2:57" s="31" customFormat="1" ht="15.5" x14ac:dyDescent="0.3">
      <c r="B129" s="54" t="s">
        <v>599</v>
      </c>
      <c r="C129" s="160"/>
      <c r="D129" s="84" t="str">
        <f>IF(C128=Pudotusvalikot!$L$14,"Yksikkö",IF(C128=Pudotusvalikot!$L$15,Pudotusvalikot!$M$15,IF(C128=Pudotusvalikot!$L$16,Pudotusvalikot!$M$16,IF(C128=Pudotusvalikot!$L$17,Pudotusvalikot!$M$17,IF(C128=Pudotusvalikot!$L$18,Pudotusvalikot!$M$18,IF(C128=Pudotusvalikot!$L$19,Pudotusvalikot!$M$19,IF(C128=Pudotusvalikot!$L$20,Pudotusvalikot!$M$20,IF(C128=Pudotusvalikot!$L$21,Pudotusvalikot!$M$21,IF(C128=Pudotusvalikot!$L$22,Pudotusvalikot!$M$22,IF(C128=Pudotusvalikot!$L$23,Pudotusvalikot!$M$23,IF(C128=Pudotusvalikot!$L$24,Pudotusvalikot!$M$24,IF(C128=Pudotusvalikot!$L$25,Pudotusvalikot!$M$25,IF(C128=Pudotusvalikot!$L$26,Pudotusvalikot!$M$26,IF(C128=Pudotusvalikot!$L$27,Pudotusvalikot!$M$27,IF(C128=Pudotusvalikot!$L$28,Pudotusvalikot!$M$28,"Yksikkö")))))))))))))))</f>
        <v>Yksikkö</v>
      </c>
      <c r="E129" s="34"/>
      <c r="G129" s="34"/>
      <c r="H129" s="84"/>
      <c r="J129" s="33" t="s">
        <v>364</v>
      </c>
      <c r="K129" s="96" t="str">
        <f>IF(ISNUMBER(L129),L129,IF(C128=Pudotusvalikot!$L$14,"--",IF(C128=Pudotusvalikot!$L$15,Materiaalit!$G$98,IF(C128=Pudotusvalikot!$L$16,Materiaalit!$G$99,IF(C128=Pudotusvalikot!$L$17,Materiaalit!$G$100,IF(C128=Pudotusvalikot!$L$18,Materiaalit!$G$101,IF(C128=Pudotusvalikot!$L$19,Materiaalit!$G$102,IF(C128=Pudotusvalikot!$L$20,Materiaalit!$G$103,IF(C128=Pudotusvalikot!$L$21,Materiaalit!$G$104,IF(C128=Pudotusvalikot!$L$22,Materiaalit!$G$105,IF(C128=Pudotusvalikot!$L$23,Materiaalit!$G$106,IF(C128=Pudotusvalikot!$L$24,Materiaalit!$G$107,IF(C128=Pudotusvalikot!$L$25,Materiaalit!$G$108,IF(C128=Pudotusvalikot!$L$26,Materiaalit!$G$109,IF(C128=Pudotusvalikot!$L$27,Materiaalit!$G$110,IF(C128=Pudotusvalikot!$L$28,Materiaalit!$G$111,"Anna kerroin"))))))))))))))))</f>
        <v>--</v>
      </c>
      <c r="L129" s="40"/>
      <c r="M129" s="96" t="str">
        <f>IF(D129="Yksikkö","--","kgCO2e/" &amp;D129)</f>
        <v>--</v>
      </c>
      <c r="N129" s="42"/>
      <c r="O129" s="267"/>
      <c r="Q129" s="35"/>
      <c r="R129" s="50" t="str">
        <f>IF(NOT(AND(ISNUMBER(K129),ISNUMBER(C129))),"",C129*K129*IF(C128=Pudotusvalikot!$L$14,1,IF(C128=Pudotusvalikot!$L$15,Materiaalit!$K$98,IF(C128=Pudotusvalikot!$L$16,Materiaalit!$K$99,IF(C128=Pudotusvalikot!$L$17,Materiaalit!$K$100,IF(C128=Pudotusvalikot!$L$18,Materiaalit!$K$101,IF(C128=Pudotusvalikot!$L$19,Materiaalit!$K$102,IF(C128=Pudotusvalikot!$L$20,Materiaalit!$K$103,IF(C128=Pudotusvalikot!$L$21,Materiaalit!$K$104,IF(C128=Pudotusvalikot!$L$22,Materiaalit!$K$105,IF(C128=Pudotusvalikot!$L$23,Materiaalit!$K$106,IF(C128=Pudotusvalikot!$L$24,Materiaalit!$K$107,IF(C128=Pudotusvalikot!$L$25,Materiaalit!$K$108,IF(C128=Pudotusvalikot!$L$26,Materiaalit!$K$109,IF(C128=Pudotusvalikot!$L$27,Materiaalit!$K$110,Materiaalit!$K$111)))))))))))))))</f>
        <v/>
      </c>
      <c r="S129" s="102" t="s">
        <v>172</v>
      </c>
      <c r="T129" s="108"/>
      <c r="U129" s="36"/>
      <c r="V129" s="36"/>
      <c r="W129" s="36"/>
      <c r="X129" s="36"/>
      <c r="Y129" s="36"/>
      <c r="Z129" s="36"/>
      <c r="AA129" s="36"/>
      <c r="AB129" s="36"/>
      <c r="AC129" s="36"/>
      <c r="AD129" s="36"/>
      <c r="AE129" s="36"/>
      <c r="AF129" s="36"/>
      <c r="AG129" s="36"/>
      <c r="AH129" s="36"/>
      <c r="AI129" s="36"/>
      <c r="AJ129" s="36"/>
      <c r="AK129" s="36"/>
      <c r="AL129" s="36"/>
      <c r="AM129" s="36"/>
      <c r="AN129" s="37"/>
      <c r="AO129" s="37"/>
      <c r="AP129" s="37"/>
      <c r="AQ129" s="37"/>
      <c r="AR129" s="37"/>
      <c r="AS129" s="37"/>
      <c r="AT129" s="37"/>
      <c r="AU129" s="37"/>
      <c r="AV129" s="37"/>
      <c r="AW129" s="37"/>
      <c r="AX129" s="37"/>
      <c r="AY129" s="37"/>
      <c r="AZ129" s="37"/>
      <c r="BA129" s="37"/>
      <c r="BB129" s="37"/>
      <c r="BC129" s="37"/>
      <c r="BD129" s="37"/>
      <c r="BE129" s="37"/>
    </row>
    <row r="130" spans="2:57" s="31" customFormat="1" ht="15.5" x14ac:dyDescent="0.3">
      <c r="B130" s="164" t="s">
        <v>613</v>
      </c>
      <c r="C130" s="34"/>
      <c r="D130" s="84"/>
      <c r="E130" s="34"/>
      <c r="G130" s="34"/>
      <c r="H130" s="84"/>
      <c r="J130" s="33"/>
      <c r="K130" s="38"/>
      <c r="L130" s="38"/>
      <c r="M130" s="38"/>
      <c r="N130" s="38"/>
      <c r="O130" s="268"/>
      <c r="Q130" s="35"/>
      <c r="R130" s="61"/>
      <c r="S130" s="36"/>
      <c r="T130" s="108"/>
      <c r="U130" s="36"/>
      <c r="V130" s="36"/>
      <c r="W130" s="36"/>
      <c r="X130" s="36"/>
      <c r="Y130" s="36"/>
      <c r="Z130" s="36"/>
      <c r="AA130" s="36"/>
      <c r="AB130" s="36"/>
      <c r="AC130" s="36"/>
      <c r="AD130" s="36"/>
      <c r="AE130" s="36"/>
      <c r="AF130" s="36"/>
      <c r="AG130" s="36"/>
      <c r="AH130" s="36"/>
      <c r="AI130" s="36"/>
      <c r="AJ130" s="36"/>
      <c r="AK130" s="36"/>
      <c r="AL130" s="36"/>
      <c r="AM130" s="36"/>
      <c r="AN130" s="37"/>
      <c r="AO130" s="37"/>
      <c r="AP130" s="37"/>
      <c r="AQ130" s="37"/>
      <c r="AR130" s="37"/>
      <c r="AS130" s="37"/>
      <c r="AT130" s="37"/>
      <c r="AU130" s="37"/>
      <c r="AV130" s="37"/>
      <c r="AW130" s="37"/>
      <c r="AX130" s="37"/>
      <c r="AY130" s="37"/>
      <c r="AZ130" s="37"/>
      <c r="BA130" s="37"/>
      <c r="BB130" s="37"/>
      <c r="BC130" s="37"/>
      <c r="BD130" s="37"/>
      <c r="BE130" s="37"/>
    </row>
    <row r="131" spans="2:57" s="31" customFormat="1" ht="46.5" x14ac:dyDescent="0.3">
      <c r="B131" s="78" t="s">
        <v>726</v>
      </c>
      <c r="C131" s="395" t="s">
        <v>111</v>
      </c>
      <c r="D131" s="395"/>
      <c r="E131" s="34"/>
      <c r="G131" s="34"/>
      <c r="H131" s="84"/>
      <c r="J131" s="33"/>
      <c r="K131" s="38" t="s">
        <v>329</v>
      </c>
      <c r="L131" s="38" t="s">
        <v>201</v>
      </c>
      <c r="M131" s="38" t="s">
        <v>319</v>
      </c>
      <c r="N131" s="38"/>
      <c r="O131" s="268"/>
      <c r="Q131" s="35"/>
      <c r="R131" s="36" t="s">
        <v>350</v>
      </c>
      <c r="S131" s="36"/>
      <c r="T131" s="108"/>
      <c r="U131" s="36"/>
      <c r="V131" s="36"/>
      <c r="W131" s="36"/>
      <c r="X131" s="36"/>
      <c r="Y131" s="36"/>
      <c r="Z131" s="36"/>
      <c r="AA131" s="36"/>
      <c r="AB131" s="36"/>
      <c r="AC131" s="36"/>
      <c r="AD131" s="36"/>
      <c r="AE131" s="36"/>
      <c r="AF131" s="36"/>
      <c r="AG131" s="36"/>
      <c r="AH131" s="36"/>
      <c r="AI131" s="36"/>
      <c r="AJ131" s="36"/>
      <c r="AK131" s="36"/>
      <c r="AL131" s="36"/>
      <c r="AM131" s="36"/>
      <c r="AN131" s="37"/>
      <c r="AO131" s="37"/>
      <c r="AP131" s="37"/>
      <c r="AQ131" s="37"/>
      <c r="AR131" s="37"/>
      <c r="AS131" s="37"/>
      <c r="AT131" s="37"/>
      <c r="AU131" s="37"/>
      <c r="AV131" s="37"/>
      <c r="AW131" s="37"/>
      <c r="AX131" s="37"/>
      <c r="AY131" s="37"/>
      <c r="AZ131" s="37"/>
      <c r="BA131" s="37"/>
      <c r="BB131" s="37"/>
      <c r="BC131" s="37"/>
      <c r="BD131" s="37"/>
      <c r="BE131" s="37"/>
    </row>
    <row r="132" spans="2:57" s="31" customFormat="1" ht="15.5" x14ac:dyDescent="0.3">
      <c r="B132" s="54" t="s">
        <v>599</v>
      </c>
      <c r="C132" s="160"/>
      <c r="D132" s="84" t="str">
        <f>IF(C131=Pudotusvalikot!$L$14,"Yksikkö",IF(C131=Pudotusvalikot!$L$15,Pudotusvalikot!$M$15,IF(C131=Pudotusvalikot!$L$16,Pudotusvalikot!$M$16,IF(C131=Pudotusvalikot!$L$17,Pudotusvalikot!$M$17,IF(C131=Pudotusvalikot!$L$18,Pudotusvalikot!$M$18,IF(C131=Pudotusvalikot!$L$19,Pudotusvalikot!$M$19,IF(C131=Pudotusvalikot!$L$20,Pudotusvalikot!$M$20,IF(C131=Pudotusvalikot!$L$21,Pudotusvalikot!$M$21,IF(C131=Pudotusvalikot!$L$22,Pudotusvalikot!$M$22,IF(C131=Pudotusvalikot!$L$23,Pudotusvalikot!$M$23,IF(C131=Pudotusvalikot!$L$24,Pudotusvalikot!$M$24,IF(C131=Pudotusvalikot!$L$25,Pudotusvalikot!$M$25,IF(C131=Pudotusvalikot!$L$26,Pudotusvalikot!$M$26,IF(C131=Pudotusvalikot!$L$27,Pudotusvalikot!$M$27,IF(C131=Pudotusvalikot!$L$28,Pudotusvalikot!$M$28,"Yksikkö")))))))))))))))</f>
        <v>Yksikkö</v>
      </c>
      <c r="E132" s="34"/>
      <c r="G132" s="34"/>
      <c r="H132" s="84"/>
      <c r="J132" s="33" t="s">
        <v>364</v>
      </c>
      <c r="K132" s="96" t="str">
        <f>IF(ISNUMBER(L132),L132,IF(C131=Pudotusvalikot!$L$14,"--",IF(C131=Pudotusvalikot!$L$15,Materiaalit!$G$98,IF(C131=Pudotusvalikot!$L$16,Materiaalit!$G$99,IF(C131=Pudotusvalikot!$L$17,Materiaalit!$G$100,IF(C131=Pudotusvalikot!$L$18,Materiaalit!$G$101,IF(C131=Pudotusvalikot!$L$19,Materiaalit!$G$102,IF(C131=Pudotusvalikot!$L$20,Materiaalit!$G$103,IF(C131=Pudotusvalikot!$L$21,Materiaalit!$G$104,IF(C131=Pudotusvalikot!$L$22,Materiaalit!$G$105,IF(C131=Pudotusvalikot!$L$23,Materiaalit!$G$106,IF(C131=Pudotusvalikot!$L$24,Materiaalit!$G$107,IF(C131=Pudotusvalikot!$L$25,Materiaalit!$G$108,IF(C131=Pudotusvalikot!$L$26,Materiaalit!$G$109,IF(C131=Pudotusvalikot!$L$27,Materiaalit!$G$110,IF(C131=Pudotusvalikot!$L$28,Materiaalit!$G$111,"Anna kerroin"))))))))))))))))</f>
        <v>--</v>
      </c>
      <c r="L132" s="40"/>
      <c r="M132" s="96" t="str">
        <f>IF(D132="Yksikkö","--","kgCO2e/" &amp;D132)</f>
        <v>--</v>
      </c>
      <c r="N132" s="42"/>
      <c r="O132" s="267"/>
      <c r="Q132" s="35"/>
      <c r="R132" s="50" t="str">
        <f>IF(NOT(AND(ISNUMBER(K132),ISNUMBER(C132))),"",C132*K132*IF(C131=Pudotusvalikot!$L$14,1,IF(C131=Pudotusvalikot!$L$15,Materiaalit!$K$98,IF(C131=Pudotusvalikot!$L$16,Materiaalit!$K$99,IF(C131=Pudotusvalikot!$L$17,Materiaalit!$K$100,IF(C131=Pudotusvalikot!$L$18,Materiaalit!$K$101,IF(C131=Pudotusvalikot!$L$19,Materiaalit!$K$102,IF(C131=Pudotusvalikot!$L$20,Materiaalit!$K$103,IF(C131=Pudotusvalikot!$L$21,Materiaalit!$K$104,IF(C131=Pudotusvalikot!$L$22,Materiaalit!$K$105,IF(C131=Pudotusvalikot!$L$23,Materiaalit!$K$106,IF(C131=Pudotusvalikot!$L$24,Materiaalit!$K$107,IF(C131=Pudotusvalikot!$L$25,Materiaalit!$K$108,IF(C131=Pudotusvalikot!$L$26,Materiaalit!$K$109,IF(C131=Pudotusvalikot!$L$27,Materiaalit!$K$110,Materiaalit!$K$111)))))))))))))))</f>
        <v/>
      </c>
      <c r="S132" s="102" t="s">
        <v>172</v>
      </c>
      <c r="T132" s="108"/>
      <c r="U132" s="36"/>
      <c r="V132" s="36"/>
      <c r="W132" s="36"/>
      <c r="X132" s="36"/>
      <c r="Y132" s="36"/>
      <c r="Z132" s="36"/>
      <c r="AA132" s="36"/>
      <c r="AB132" s="36"/>
      <c r="AC132" s="36"/>
      <c r="AD132" s="36"/>
      <c r="AE132" s="36"/>
      <c r="AF132" s="36"/>
      <c r="AG132" s="36"/>
      <c r="AH132" s="36"/>
      <c r="AI132" s="36"/>
      <c r="AJ132" s="36"/>
      <c r="AK132" s="36"/>
      <c r="AL132" s="36"/>
      <c r="AM132" s="36"/>
      <c r="AN132" s="37"/>
      <c r="AO132" s="37"/>
      <c r="AP132" s="37"/>
      <c r="AQ132" s="37"/>
      <c r="AR132" s="37"/>
      <c r="AS132" s="37"/>
      <c r="AT132" s="37"/>
      <c r="AU132" s="37"/>
      <c r="AV132" s="37"/>
      <c r="AW132" s="37"/>
      <c r="AX132" s="37"/>
      <c r="AY132" s="37"/>
      <c r="AZ132" s="37"/>
      <c r="BA132" s="37"/>
      <c r="BB132" s="37"/>
      <c r="BC132" s="37"/>
      <c r="BD132" s="37"/>
      <c r="BE132" s="37"/>
    </row>
    <row r="133" spans="2:57" s="31" customFormat="1" ht="15.5" x14ac:dyDescent="0.3">
      <c r="B133" s="164" t="s">
        <v>614</v>
      </c>
      <c r="C133" s="34"/>
      <c r="D133" s="84"/>
      <c r="E133" s="34"/>
      <c r="G133" s="34"/>
      <c r="H133" s="84"/>
      <c r="J133" s="33"/>
      <c r="K133" s="38"/>
      <c r="L133" s="38"/>
      <c r="M133" s="38"/>
      <c r="N133" s="38"/>
      <c r="O133" s="268"/>
      <c r="Q133" s="35"/>
      <c r="R133" s="61"/>
      <c r="S133" s="36"/>
      <c r="T133" s="108"/>
      <c r="U133" s="36"/>
      <c r="V133" s="36"/>
      <c r="W133" s="36"/>
      <c r="X133" s="36"/>
      <c r="Y133" s="36"/>
      <c r="Z133" s="36"/>
      <c r="AA133" s="36"/>
      <c r="AB133" s="36"/>
      <c r="AC133" s="36"/>
      <c r="AD133" s="36"/>
      <c r="AE133" s="36"/>
      <c r="AF133" s="36"/>
      <c r="AG133" s="36"/>
      <c r="AH133" s="36"/>
      <c r="AI133" s="36"/>
      <c r="AJ133" s="36"/>
      <c r="AK133" s="36"/>
      <c r="AL133" s="36"/>
      <c r="AM133" s="36"/>
      <c r="AN133" s="37"/>
      <c r="AO133" s="37"/>
      <c r="AP133" s="37"/>
      <c r="AQ133" s="37"/>
      <c r="AR133" s="37"/>
      <c r="AS133" s="37"/>
      <c r="AT133" s="37"/>
      <c r="AU133" s="37"/>
      <c r="AV133" s="37"/>
      <c r="AW133" s="37"/>
      <c r="AX133" s="37"/>
      <c r="AY133" s="37"/>
      <c r="AZ133" s="37"/>
      <c r="BA133" s="37"/>
      <c r="BB133" s="37"/>
      <c r="BC133" s="37"/>
      <c r="BD133" s="37"/>
      <c r="BE133" s="37"/>
    </row>
    <row r="134" spans="2:57" s="31" customFormat="1" ht="46.5" x14ac:dyDescent="0.3">
      <c r="B134" s="78" t="s">
        <v>726</v>
      </c>
      <c r="C134" s="395" t="s">
        <v>111</v>
      </c>
      <c r="D134" s="395"/>
      <c r="E134" s="34"/>
      <c r="G134" s="34"/>
      <c r="H134" s="84"/>
      <c r="J134" s="33"/>
      <c r="K134" s="38" t="s">
        <v>329</v>
      </c>
      <c r="L134" s="38" t="s">
        <v>201</v>
      </c>
      <c r="M134" s="38" t="s">
        <v>319</v>
      </c>
      <c r="N134" s="38"/>
      <c r="O134" s="268"/>
      <c r="Q134" s="35"/>
      <c r="R134" s="36" t="s">
        <v>350</v>
      </c>
      <c r="S134" s="36"/>
      <c r="T134" s="108"/>
      <c r="U134" s="36"/>
      <c r="V134" s="36"/>
      <c r="W134" s="36"/>
      <c r="X134" s="36"/>
      <c r="Y134" s="36"/>
      <c r="Z134" s="36"/>
      <c r="AA134" s="36"/>
      <c r="AB134" s="36"/>
      <c r="AC134" s="36"/>
      <c r="AD134" s="36"/>
      <c r="AE134" s="36"/>
      <c r="AF134" s="36"/>
      <c r="AG134" s="36"/>
      <c r="AH134" s="36"/>
      <c r="AI134" s="36"/>
      <c r="AJ134" s="36"/>
      <c r="AK134" s="36"/>
      <c r="AL134" s="36"/>
      <c r="AM134" s="36"/>
      <c r="AN134" s="37"/>
      <c r="AO134" s="37"/>
      <c r="AP134" s="37"/>
      <c r="AQ134" s="37"/>
      <c r="AR134" s="37"/>
      <c r="AS134" s="37"/>
      <c r="AT134" s="37"/>
      <c r="AU134" s="37"/>
      <c r="AV134" s="37"/>
      <c r="AW134" s="37"/>
      <c r="AX134" s="37"/>
      <c r="AY134" s="37"/>
      <c r="AZ134" s="37"/>
      <c r="BA134" s="37"/>
      <c r="BB134" s="37"/>
      <c r="BC134" s="37"/>
      <c r="BD134" s="37"/>
      <c r="BE134" s="37"/>
    </row>
    <row r="135" spans="2:57" s="31" customFormat="1" ht="15.5" x14ac:dyDescent="0.3">
      <c r="B135" s="54" t="s">
        <v>599</v>
      </c>
      <c r="C135" s="160"/>
      <c r="D135" s="84" t="str">
        <f>IF(C134=Pudotusvalikot!$L$14,"Yksikkö",IF(C134=Pudotusvalikot!$L$15,Pudotusvalikot!$M$15,IF(C134=Pudotusvalikot!$L$16,Pudotusvalikot!$M$16,IF(C134=Pudotusvalikot!$L$17,Pudotusvalikot!$M$17,IF(C134=Pudotusvalikot!$L$18,Pudotusvalikot!$M$18,IF(C134=Pudotusvalikot!$L$19,Pudotusvalikot!$M$19,IF(C134=Pudotusvalikot!$L$20,Pudotusvalikot!$M$20,IF(C134=Pudotusvalikot!$L$21,Pudotusvalikot!$M$21,IF(C134=Pudotusvalikot!$L$22,Pudotusvalikot!$M$22,IF(C134=Pudotusvalikot!$L$23,Pudotusvalikot!$M$23,IF(C134=Pudotusvalikot!$L$24,Pudotusvalikot!$M$24,IF(C134=Pudotusvalikot!$L$25,Pudotusvalikot!$M$25,IF(C134=Pudotusvalikot!$L$26,Pudotusvalikot!$M$26,IF(C134=Pudotusvalikot!$L$27,Pudotusvalikot!$M$27,IF(C134=Pudotusvalikot!$L$28,Pudotusvalikot!$M$28,"Yksikkö")))))))))))))))</f>
        <v>Yksikkö</v>
      </c>
      <c r="E135" s="34"/>
      <c r="F135" s="34"/>
      <c r="G135" s="34"/>
      <c r="H135" s="84"/>
      <c r="J135" s="33" t="s">
        <v>364</v>
      </c>
      <c r="K135" s="96" t="str">
        <f>IF(ISNUMBER(L135),L135,IF(C134=Pudotusvalikot!$L$14,"--",IF(C134=Pudotusvalikot!$L$15,Materiaalit!$G$98,IF(C134=Pudotusvalikot!$L$16,Materiaalit!$G$99,IF(C134=Pudotusvalikot!$L$17,Materiaalit!$G$100,IF(C134=Pudotusvalikot!$L$18,Materiaalit!$G$101,IF(C134=Pudotusvalikot!$L$19,Materiaalit!$G$102,IF(C134=Pudotusvalikot!$L$20,Materiaalit!$G$103,IF(C134=Pudotusvalikot!$L$21,Materiaalit!$G$104,IF(C134=Pudotusvalikot!$L$22,Materiaalit!$G$105,IF(C134=Pudotusvalikot!$L$23,Materiaalit!$G$106,IF(C134=Pudotusvalikot!$L$24,Materiaalit!$G$107,IF(C134=Pudotusvalikot!$L$25,Materiaalit!$G$108,IF(C134=Pudotusvalikot!$L$26,Materiaalit!$G$109,IF(C134=Pudotusvalikot!$L$27,Materiaalit!$G$110,IF(C134=Pudotusvalikot!$L$28,Materiaalit!$G$111,"Anna kerroin"))))))))))))))))</f>
        <v>--</v>
      </c>
      <c r="L135" s="40"/>
      <c r="M135" s="96" t="str">
        <f>IF(D135="Yksikkö","--","kgCO2e/" &amp;D135)</f>
        <v>--</v>
      </c>
      <c r="N135" s="42"/>
      <c r="O135" s="267"/>
      <c r="Q135" s="35"/>
      <c r="R135" s="50" t="str">
        <f>IF(NOT(AND(ISNUMBER(K135),ISNUMBER(C135))),"",C135*K135*IF(C134=Pudotusvalikot!$L$14,1,IF(C134=Pudotusvalikot!$L$15,Materiaalit!$K$98,IF(C134=Pudotusvalikot!$L$16,Materiaalit!$K$99,IF(C134=Pudotusvalikot!$L$17,Materiaalit!$K$100,IF(C134=Pudotusvalikot!$L$18,Materiaalit!$K$101,IF(C134=Pudotusvalikot!$L$19,Materiaalit!$K$102,IF(C134=Pudotusvalikot!$L$20,Materiaalit!$K$103,IF(C134=Pudotusvalikot!$L$21,Materiaalit!$K$104,IF(C134=Pudotusvalikot!$L$22,Materiaalit!$K$105,IF(C134=Pudotusvalikot!$L$23,Materiaalit!$K$106,IF(C134=Pudotusvalikot!$L$24,Materiaalit!$K$107,IF(C134=Pudotusvalikot!$L$25,Materiaalit!$K$108,IF(C134=Pudotusvalikot!$L$26,Materiaalit!$K$109,IF(C134=Pudotusvalikot!$L$27,Materiaalit!$K$110,Materiaalit!$K$111)))))))))))))))</f>
        <v/>
      </c>
      <c r="S135" s="102" t="s">
        <v>172</v>
      </c>
      <c r="T135" s="108"/>
      <c r="U135" s="36"/>
      <c r="V135" s="36"/>
      <c r="W135" s="36"/>
      <c r="X135" s="36"/>
      <c r="Y135" s="36"/>
      <c r="Z135" s="36"/>
      <c r="AA135" s="36"/>
      <c r="AB135" s="36"/>
      <c r="AC135" s="36"/>
      <c r="AD135" s="36"/>
      <c r="AE135" s="36"/>
      <c r="AF135" s="36"/>
      <c r="AG135" s="36"/>
      <c r="AH135" s="36"/>
      <c r="AI135" s="36"/>
      <c r="AJ135" s="36"/>
      <c r="AK135" s="36"/>
      <c r="AL135" s="36"/>
      <c r="AM135" s="36"/>
      <c r="AN135" s="37"/>
      <c r="AO135" s="37"/>
      <c r="AP135" s="37"/>
      <c r="AQ135" s="37"/>
      <c r="AR135" s="37"/>
      <c r="AS135" s="37"/>
      <c r="AT135" s="37"/>
      <c r="AU135" s="37"/>
      <c r="AV135" s="37"/>
      <c r="AW135" s="37"/>
      <c r="AX135" s="37"/>
      <c r="AY135" s="37"/>
      <c r="AZ135" s="37"/>
      <c r="BA135" s="37"/>
      <c r="BB135" s="37"/>
      <c r="BC135" s="37"/>
      <c r="BD135" s="37"/>
      <c r="BE135" s="37"/>
    </row>
    <row r="136" spans="2:57" s="31" customFormat="1" ht="15.5" x14ac:dyDescent="0.3">
      <c r="B136" s="164" t="s">
        <v>615</v>
      </c>
      <c r="C136" s="34"/>
      <c r="D136" s="84"/>
      <c r="E136" s="34"/>
      <c r="G136" s="34"/>
      <c r="H136" s="84"/>
      <c r="J136" s="33"/>
      <c r="K136" s="38"/>
      <c r="L136" s="38"/>
      <c r="M136" s="38"/>
      <c r="N136" s="38"/>
      <c r="O136" s="268"/>
      <c r="Q136" s="35"/>
      <c r="R136" s="61"/>
      <c r="S136" s="36"/>
      <c r="T136" s="108"/>
      <c r="U136" s="36"/>
      <c r="V136" s="36"/>
      <c r="W136" s="36"/>
      <c r="X136" s="36"/>
      <c r="Y136" s="36"/>
      <c r="Z136" s="36"/>
      <c r="AA136" s="36"/>
      <c r="AB136" s="36"/>
      <c r="AC136" s="36"/>
      <c r="AD136" s="36"/>
      <c r="AE136" s="36"/>
      <c r="AF136" s="36"/>
      <c r="AG136" s="36"/>
      <c r="AH136" s="36"/>
      <c r="AI136" s="36"/>
      <c r="AJ136" s="36"/>
      <c r="AK136" s="36"/>
      <c r="AL136" s="36"/>
      <c r="AM136" s="36"/>
      <c r="AN136" s="37"/>
      <c r="AO136" s="37"/>
      <c r="AP136" s="37"/>
      <c r="AQ136" s="37"/>
      <c r="AR136" s="37"/>
      <c r="AS136" s="37"/>
      <c r="AT136" s="37"/>
      <c r="AU136" s="37"/>
      <c r="AV136" s="37"/>
      <c r="AW136" s="37"/>
      <c r="AX136" s="37"/>
      <c r="AY136" s="37"/>
      <c r="AZ136" s="37"/>
      <c r="BA136" s="37"/>
      <c r="BB136" s="37"/>
      <c r="BC136" s="37"/>
      <c r="BD136" s="37"/>
      <c r="BE136" s="37"/>
    </row>
    <row r="137" spans="2:57" s="31" customFormat="1" ht="46.5" x14ac:dyDescent="0.3">
      <c r="B137" s="78" t="s">
        <v>726</v>
      </c>
      <c r="C137" s="395" t="s">
        <v>111</v>
      </c>
      <c r="D137" s="395"/>
      <c r="E137" s="34"/>
      <c r="G137" s="34"/>
      <c r="H137" s="84"/>
      <c r="J137" s="33"/>
      <c r="K137" s="38" t="s">
        <v>329</v>
      </c>
      <c r="L137" s="38" t="s">
        <v>201</v>
      </c>
      <c r="M137" s="38" t="s">
        <v>319</v>
      </c>
      <c r="N137" s="38"/>
      <c r="O137" s="268"/>
      <c r="Q137" s="35"/>
      <c r="R137" s="36" t="s">
        <v>350</v>
      </c>
      <c r="S137" s="36"/>
      <c r="T137" s="108"/>
      <c r="U137" s="36"/>
      <c r="V137" s="36"/>
      <c r="W137" s="36"/>
      <c r="X137" s="36"/>
      <c r="Y137" s="36"/>
      <c r="Z137" s="36"/>
      <c r="AA137" s="36"/>
      <c r="AB137" s="36"/>
      <c r="AC137" s="36"/>
      <c r="AD137" s="36"/>
      <c r="AE137" s="36"/>
      <c r="AF137" s="36"/>
      <c r="AG137" s="36"/>
      <c r="AH137" s="36"/>
      <c r="AI137" s="36"/>
      <c r="AJ137" s="36"/>
      <c r="AK137" s="36"/>
      <c r="AL137" s="36"/>
      <c r="AM137" s="36"/>
      <c r="AN137" s="37"/>
      <c r="AO137" s="37"/>
      <c r="AP137" s="37"/>
      <c r="AQ137" s="37"/>
      <c r="AR137" s="37"/>
      <c r="AS137" s="37"/>
      <c r="AT137" s="37"/>
      <c r="AU137" s="37"/>
      <c r="AV137" s="37"/>
      <c r="AW137" s="37"/>
      <c r="AX137" s="37"/>
      <c r="AY137" s="37"/>
      <c r="AZ137" s="37"/>
      <c r="BA137" s="37"/>
      <c r="BB137" s="37"/>
      <c r="BC137" s="37"/>
      <c r="BD137" s="37"/>
      <c r="BE137" s="37"/>
    </row>
    <row r="138" spans="2:57" s="31" customFormat="1" ht="15.5" x14ac:dyDescent="0.3">
      <c r="B138" s="54" t="s">
        <v>599</v>
      </c>
      <c r="C138" s="160"/>
      <c r="D138" s="84" t="str">
        <f>IF(C137=Pudotusvalikot!$L$14,"Yksikkö",IF(C137=Pudotusvalikot!$L$15,Pudotusvalikot!$M$15,IF(C137=Pudotusvalikot!$L$16,Pudotusvalikot!$M$16,IF(C137=Pudotusvalikot!$L$17,Pudotusvalikot!$M$17,IF(C137=Pudotusvalikot!$L$18,Pudotusvalikot!$M$18,IF(C137=Pudotusvalikot!$L$19,Pudotusvalikot!$M$19,IF(C137=Pudotusvalikot!$L$20,Pudotusvalikot!$M$20,IF(C137=Pudotusvalikot!$L$21,Pudotusvalikot!$M$21,IF(C137=Pudotusvalikot!$L$22,Pudotusvalikot!$M$22,IF(C137=Pudotusvalikot!$L$23,Pudotusvalikot!$M$23,IF(C137=Pudotusvalikot!$L$24,Pudotusvalikot!$M$24,IF(C137=Pudotusvalikot!$L$25,Pudotusvalikot!$M$25,IF(C137=Pudotusvalikot!$L$26,Pudotusvalikot!$M$26,IF(C137=Pudotusvalikot!$L$27,Pudotusvalikot!$M$27,IF(C137=Pudotusvalikot!$L$28,Pudotusvalikot!$M$28,"Yksikkö")))))))))))))))</f>
        <v>Yksikkö</v>
      </c>
      <c r="E138" s="34"/>
      <c r="G138" s="34"/>
      <c r="H138" s="84"/>
      <c r="J138" s="33" t="s">
        <v>364</v>
      </c>
      <c r="K138" s="96" t="str">
        <f>IF(ISNUMBER(L138),L138,IF(C137=Pudotusvalikot!$L$14,"--",IF(C137=Pudotusvalikot!$L$15,Materiaalit!$G$98,IF(C137=Pudotusvalikot!$L$16,Materiaalit!$G$99,IF(C137=Pudotusvalikot!$L$17,Materiaalit!$G$100,IF(C137=Pudotusvalikot!$L$18,Materiaalit!$G$101,IF(C137=Pudotusvalikot!$L$19,Materiaalit!$G$102,IF(C137=Pudotusvalikot!$L$20,Materiaalit!$G$103,IF(C137=Pudotusvalikot!$L$21,Materiaalit!$G$104,IF(C137=Pudotusvalikot!$L$22,Materiaalit!$G$105,IF(C137=Pudotusvalikot!$L$23,Materiaalit!$G$106,IF(C137=Pudotusvalikot!$L$24,Materiaalit!$G$107,IF(C137=Pudotusvalikot!$L$25,Materiaalit!$G$108,IF(C137=Pudotusvalikot!$L$26,Materiaalit!$G$109,IF(C137=Pudotusvalikot!$L$27,Materiaalit!$G$110,IF(C137=Pudotusvalikot!$L$28,Materiaalit!$G$111,"Anna kerroin"))))))))))))))))</f>
        <v>--</v>
      </c>
      <c r="L138" s="40"/>
      <c r="M138" s="96" t="str">
        <f>IF(D138="Yksikkö","--","kgCO2e/" &amp;D138)</f>
        <v>--</v>
      </c>
      <c r="N138" s="42"/>
      <c r="O138" s="267"/>
      <c r="Q138" s="35"/>
      <c r="R138" s="50" t="str">
        <f>IF(NOT(AND(ISNUMBER(K138),ISNUMBER(C138))),"",C138*K138*IF(C137=Pudotusvalikot!$L$14,1,IF(C137=Pudotusvalikot!$L$15,Materiaalit!$K$98,IF(C137=Pudotusvalikot!$L$16,Materiaalit!$K$99,IF(C137=Pudotusvalikot!$L$17,Materiaalit!$K$100,IF(C137=Pudotusvalikot!$L$18,Materiaalit!$K$101,IF(C137=Pudotusvalikot!$L$19,Materiaalit!$K$102,IF(C137=Pudotusvalikot!$L$20,Materiaalit!$K$103,IF(C137=Pudotusvalikot!$L$21,Materiaalit!$K$104,IF(C137=Pudotusvalikot!$L$22,Materiaalit!$K$105,IF(C137=Pudotusvalikot!$L$23,Materiaalit!$K$106,IF(C137=Pudotusvalikot!$L$24,Materiaalit!$K$107,IF(C137=Pudotusvalikot!$L$25,Materiaalit!$K$108,IF(C137=Pudotusvalikot!$L$26,Materiaalit!$K$109,IF(C137=Pudotusvalikot!$L$27,Materiaalit!$K$110,Materiaalit!$K$111)))))))))))))))</f>
        <v/>
      </c>
      <c r="S138" s="102" t="s">
        <v>172</v>
      </c>
      <c r="T138" s="108"/>
      <c r="U138" s="36"/>
      <c r="V138" s="36"/>
      <c r="W138" s="36"/>
      <c r="X138" s="36"/>
      <c r="Y138" s="36"/>
      <c r="Z138" s="36"/>
      <c r="AA138" s="36"/>
      <c r="AB138" s="36"/>
      <c r="AC138" s="36"/>
      <c r="AD138" s="36"/>
      <c r="AE138" s="36"/>
      <c r="AF138" s="36"/>
      <c r="AG138" s="36"/>
      <c r="AH138" s="36"/>
      <c r="AI138" s="36"/>
      <c r="AJ138" s="36"/>
      <c r="AK138" s="36"/>
      <c r="AL138" s="36"/>
      <c r="AM138" s="36"/>
      <c r="AN138" s="37"/>
      <c r="AO138" s="37"/>
      <c r="AP138" s="37"/>
      <c r="AQ138" s="37"/>
      <c r="AR138" s="37"/>
      <c r="AS138" s="37"/>
      <c r="AT138" s="37"/>
      <c r="AU138" s="37"/>
      <c r="AV138" s="37"/>
      <c r="AW138" s="37"/>
      <c r="AX138" s="37"/>
      <c r="AY138" s="37"/>
      <c r="AZ138" s="37"/>
      <c r="BA138" s="37"/>
      <c r="BB138" s="37"/>
      <c r="BC138" s="37"/>
      <c r="BD138" s="37"/>
      <c r="BE138" s="37"/>
    </row>
    <row r="139" spans="2:57" s="31" customFormat="1" ht="15.5" x14ac:dyDescent="0.3">
      <c r="C139" s="34"/>
      <c r="D139" s="84"/>
      <c r="G139" s="34"/>
      <c r="H139" s="84"/>
      <c r="J139" s="33"/>
      <c r="K139" s="34"/>
      <c r="L139" s="34"/>
      <c r="M139" s="84"/>
      <c r="N139" s="84"/>
      <c r="O139" s="84"/>
      <c r="Q139" s="35"/>
      <c r="R139" s="99"/>
      <c r="S139" s="36"/>
      <c r="T139" s="36"/>
      <c r="U139" s="36"/>
      <c r="V139" s="36"/>
      <c r="W139" s="36"/>
      <c r="X139" s="36"/>
      <c r="Y139" s="36"/>
      <c r="Z139" s="36"/>
      <c r="AA139" s="36"/>
      <c r="AB139" s="36"/>
      <c r="AC139" s="36"/>
      <c r="AD139" s="36"/>
      <c r="AE139" s="36"/>
      <c r="AF139" s="36"/>
      <c r="AG139" s="36"/>
      <c r="AH139" s="36"/>
      <c r="AI139" s="36"/>
      <c r="AJ139" s="36"/>
      <c r="AK139" s="36"/>
      <c r="AL139" s="36"/>
      <c r="AM139" s="36"/>
      <c r="AN139" s="37"/>
      <c r="AO139" s="37"/>
      <c r="AP139" s="37"/>
      <c r="AQ139" s="37"/>
      <c r="AR139" s="37"/>
      <c r="AS139" s="37"/>
      <c r="AT139" s="37"/>
      <c r="AU139" s="37"/>
      <c r="AV139" s="37"/>
      <c r="AW139" s="37"/>
      <c r="AX139" s="37"/>
      <c r="AY139" s="37"/>
      <c r="AZ139" s="37"/>
      <c r="BA139" s="37"/>
      <c r="BB139" s="37"/>
      <c r="BC139" s="37"/>
      <c r="BD139" s="37"/>
      <c r="BE139" s="37"/>
    </row>
    <row r="140" spans="2:57" s="298" customFormat="1" ht="18" x14ac:dyDescent="0.3">
      <c r="B140" s="295" t="s">
        <v>318</v>
      </c>
      <c r="C140" s="296"/>
      <c r="D140" s="297"/>
      <c r="G140" s="296"/>
      <c r="H140" s="297"/>
      <c r="K140" s="296"/>
      <c r="L140" s="296"/>
      <c r="M140" s="297"/>
      <c r="N140" s="297"/>
      <c r="O140" s="300"/>
      <c r="P140" s="320"/>
      <c r="Q140" s="304"/>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4"/>
      <c r="AO140" s="304"/>
      <c r="AP140" s="304"/>
      <c r="AQ140" s="304"/>
      <c r="AR140" s="304"/>
      <c r="AS140" s="304"/>
      <c r="AT140" s="304"/>
      <c r="AU140" s="304"/>
      <c r="AV140" s="304"/>
      <c r="AW140" s="304"/>
      <c r="AX140" s="304"/>
      <c r="AY140" s="304"/>
      <c r="AZ140" s="304"/>
      <c r="BA140" s="304"/>
      <c r="BB140" s="304"/>
      <c r="BC140" s="304"/>
      <c r="BD140" s="304"/>
      <c r="BE140" s="304"/>
    </row>
    <row r="141" spans="2:57" s="31" customFormat="1" ht="15.5" x14ac:dyDescent="0.3">
      <c r="B141" s="9"/>
      <c r="C141" s="34"/>
      <c r="D141" s="84"/>
      <c r="G141" s="34"/>
      <c r="H141" s="84"/>
      <c r="J141" s="33"/>
      <c r="K141" s="34"/>
      <c r="L141" s="34"/>
      <c r="M141" s="84"/>
      <c r="N141" s="84"/>
      <c r="O141" s="84"/>
      <c r="Q141" s="35"/>
      <c r="R141" s="99"/>
      <c r="S141" s="36"/>
      <c r="T141" s="36"/>
      <c r="U141" s="36"/>
      <c r="V141" s="36"/>
      <c r="W141" s="36"/>
      <c r="X141" s="36"/>
      <c r="Y141" s="36"/>
      <c r="Z141" s="36"/>
      <c r="AA141" s="36"/>
      <c r="AB141" s="36"/>
      <c r="AC141" s="36"/>
      <c r="AD141" s="36"/>
      <c r="AE141" s="36"/>
      <c r="AF141" s="36"/>
      <c r="AG141" s="36"/>
      <c r="AH141" s="36"/>
      <c r="AI141" s="36"/>
      <c r="AJ141" s="36"/>
      <c r="AK141" s="36"/>
      <c r="AL141" s="36"/>
      <c r="AM141" s="36"/>
      <c r="AN141" s="37"/>
      <c r="AO141" s="37"/>
      <c r="AP141" s="37"/>
      <c r="AQ141" s="37"/>
      <c r="AR141" s="37"/>
      <c r="AS141" s="37"/>
      <c r="AT141" s="37"/>
      <c r="AU141" s="37"/>
      <c r="AV141" s="37"/>
      <c r="AW141" s="37"/>
      <c r="AX141" s="37"/>
      <c r="AY141" s="37"/>
      <c r="AZ141" s="37"/>
      <c r="BA141" s="37"/>
      <c r="BB141" s="37"/>
      <c r="BC141" s="37"/>
      <c r="BD141" s="37"/>
      <c r="BE141" s="37"/>
    </row>
    <row r="142" spans="2:57" s="31" customFormat="1" ht="45.75" customHeight="1" x14ac:dyDescent="0.3">
      <c r="B142" s="398" t="s">
        <v>568</v>
      </c>
      <c r="C142" s="398"/>
      <c r="D142" s="398"/>
      <c r="E142" s="398"/>
      <c r="F142" s="398"/>
      <c r="G142" s="398"/>
      <c r="H142" s="398"/>
      <c r="J142" s="33"/>
      <c r="K142" s="42"/>
      <c r="L142" s="42"/>
      <c r="M142" s="41"/>
      <c r="N142" s="41"/>
      <c r="O142" s="255" t="s">
        <v>644</v>
      </c>
      <c r="Q142" s="35"/>
      <c r="R142" s="61"/>
      <c r="S142" s="102"/>
      <c r="T142" s="36"/>
      <c r="U142" s="36"/>
      <c r="V142" s="36"/>
      <c r="W142" s="36"/>
      <c r="X142" s="36"/>
      <c r="Y142" s="36"/>
      <c r="Z142" s="36"/>
      <c r="AA142" s="36"/>
      <c r="AB142" s="108"/>
      <c r="AC142" s="36"/>
      <c r="AD142" s="36"/>
      <c r="AE142" s="36"/>
      <c r="AF142" s="36"/>
      <c r="AG142" s="36"/>
      <c r="AH142" s="36"/>
      <c r="AI142" s="36"/>
      <c r="AJ142" s="36"/>
      <c r="AK142" s="36"/>
      <c r="AL142" s="36"/>
      <c r="AM142" s="36"/>
      <c r="AN142" s="37"/>
      <c r="AO142" s="37"/>
      <c r="AP142" s="37"/>
      <c r="AQ142" s="37"/>
      <c r="AR142" s="37"/>
      <c r="AS142" s="37"/>
      <c r="AT142" s="37"/>
      <c r="AU142" s="37"/>
      <c r="AV142" s="37"/>
      <c r="AW142" s="37"/>
      <c r="AX142" s="37"/>
      <c r="AY142" s="37"/>
      <c r="AZ142" s="37"/>
      <c r="BA142" s="37"/>
      <c r="BB142" s="37"/>
      <c r="BC142" s="37"/>
      <c r="BD142" s="37"/>
      <c r="BE142" s="37"/>
    </row>
    <row r="143" spans="2:57" s="31" customFormat="1" ht="60.75" customHeight="1" x14ac:dyDescent="0.3">
      <c r="B143" s="398" t="s">
        <v>729</v>
      </c>
      <c r="C143" s="398"/>
      <c r="D143" s="398"/>
      <c r="E143" s="398"/>
      <c r="F143" s="398"/>
      <c r="G143" s="398"/>
      <c r="H143" s="398"/>
      <c r="J143" s="33"/>
      <c r="K143" s="42"/>
      <c r="L143" s="42"/>
      <c r="M143" s="41"/>
      <c r="N143" s="41"/>
      <c r="O143" s="256"/>
      <c r="Q143" s="35"/>
      <c r="R143" s="61"/>
      <c r="S143" s="102"/>
      <c r="T143" s="36"/>
      <c r="U143" s="36"/>
      <c r="V143" s="36"/>
      <c r="W143" s="36"/>
      <c r="X143" s="36"/>
      <c r="Y143" s="36"/>
      <c r="Z143" s="36"/>
      <c r="AA143" s="36"/>
      <c r="AB143" s="108"/>
      <c r="AC143" s="36"/>
      <c r="AD143" s="36"/>
      <c r="AE143" s="36"/>
      <c r="AF143" s="36"/>
      <c r="AG143" s="36"/>
      <c r="AH143" s="36"/>
      <c r="AI143" s="36"/>
      <c r="AJ143" s="36"/>
      <c r="AK143" s="36"/>
      <c r="AL143" s="36"/>
      <c r="AM143" s="36"/>
      <c r="AN143" s="37"/>
      <c r="AO143" s="37"/>
      <c r="AP143" s="37"/>
      <c r="AQ143" s="37"/>
      <c r="AR143" s="37"/>
      <c r="AS143" s="37"/>
      <c r="AT143" s="37"/>
      <c r="AU143" s="37"/>
      <c r="AV143" s="37"/>
      <c r="AW143" s="37"/>
      <c r="AX143" s="37"/>
      <c r="AY143" s="37"/>
      <c r="AZ143" s="37"/>
      <c r="BA143" s="37"/>
      <c r="BB143" s="37"/>
      <c r="BC143" s="37"/>
      <c r="BD143" s="37"/>
      <c r="BE143" s="37"/>
    </row>
    <row r="144" spans="2:57" s="31" customFormat="1" ht="15.5" x14ac:dyDescent="0.3">
      <c r="B144" s="9"/>
      <c r="C144" s="34"/>
      <c r="D144" s="84"/>
      <c r="G144" s="34"/>
      <c r="H144" s="84"/>
      <c r="J144" s="33"/>
      <c r="K144" s="34"/>
      <c r="L144" s="34"/>
      <c r="M144" s="84"/>
      <c r="N144" s="84"/>
      <c r="O144" s="100"/>
      <c r="Q144" s="35"/>
      <c r="R144" s="99"/>
      <c r="S144" s="36"/>
      <c r="T144" s="36"/>
      <c r="U144" s="36"/>
      <c r="V144" s="36"/>
      <c r="W144" s="36"/>
      <c r="X144" s="36"/>
      <c r="Y144" s="36"/>
      <c r="Z144" s="36"/>
      <c r="AA144" s="36"/>
      <c r="AB144" s="36"/>
      <c r="AC144" s="36"/>
      <c r="AD144" s="36"/>
      <c r="AE144" s="36"/>
      <c r="AF144" s="36"/>
      <c r="AG144" s="36"/>
      <c r="AH144" s="36"/>
      <c r="AI144" s="36"/>
      <c r="AJ144" s="36"/>
      <c r="AK144" s="36"/>
      <c r="AL144" s="36"/>
      <c r="AM144" s="36"/>
      <c r="AN144" s="37"/>
      <c r="AO144" s="37"/>
      <c r="AP144" s="37"/>
      <c r="AQ144" s="37"/>
      <c r="AR144" s="37"/>
      <c r="AS144" s="37"/>
      <c r="AT144" s="37"/>
      <c r="AU144" s="37"/>
      <c r="AV144" s="37"/>
      <c r="AW144" s="37"/>
      <c r="AX144" s="37"/>
      <c r="AY144" s="37"/>
      <c r="AZ144" s="37"/>
      <c r="BA144" s="37"/>
      <c r="BB144" s="37"/>
      <c r="BC144" s="37"/>
      <c r="BD144" s="37"/>
      <c r="BE144" s="37"/>
    </row>
    <row r="145" spans="2:57" s="31" customFormat="1" ht="15.5" x14ac:dyDescent="0.3">
      <c r="B145" s="9" t="str">
        <f>B124</f>
        <v>Kasvi-, kemikaali-, tuote- tai materiaalilaji 1</v>
      </c>
      <c r="C145" s="34"/>
      <c r="D145" s="84"/>
      <c r="G145" s="34"/>
      <c r="H145" s="84"/>
      <c r="J145" s="33"/>
      <c r="K145" s="34"/>
      <c r="L145" s="34"/>
      <c r="M145" s="84"/>
      <c r="N145" s="84"/>
      <c r="O145" s="100"/>
      <c r="Q145" s="35"/>
      <c r="R145" s="36" t="s">
        <v>350</v>
      </c>
      <c r="S145" s="36"/>
      <c r="T145" s="36"/>
      <c r="U145" s="36"/>
      <c r="V145" s="36"/>
      <c r="W145" s="36"/>
      <c r="X145" s="36"/>
      <c r="Y145" s="36"/>
      <c r="Z145" s="36"/>
      <c r="AA145" s="36"/>
      <c r="AB145" s="108"/>
      <c r="AC145" s="36"/>
      <c r="AD145" s="36"/>
      <c r="AE145" s="36"/>
      <c r="AF145" s="36"/>
      <c r="AG145" s="36"/>
      <c r="AH145" s="36"/>
      <c r="AI145" s="36"/>
      <c r="AJ145" s="36"/>
      <c r="AK145" s="36"/>
      <c r="AL145" s="36"/>
      <c r="AM145" s="36"/>
      <c r="AN145" s="37"/>
      <c r="AO145" s="37"/>
      <c r="AP145" s="37"/>
      <c r="AQ145" s="37"/>
      <c r="AR145" s="37"/>
      <c r="AS145" s="37"/>
      <c r="AT145" s="37"/>
      <c r="AU145" s="37"/>
      <c r="AV145" s="37"/>
      <c r="AW145" s="37"/>
      <c r="AX145" s="37"/>
      <c r="AY145" s="37"/>
      <c r="AZ145" s="37"/>
      <c r="BA145" s="37"/>
      <c r="BB145" s="37"/>
      <c r="BC145" s="37"/>
      <c r="BD145" s="37"/>
      <c r="BE145" s="37"/>
    </row>
    <row r="146" spans="2:57" s="31" customFormat="1" ht="15.5" x14ac:dyDescent="0.3">
      <c r="B146" s="54" t="s">
        <v>375</v>
      </c>
      <c r="C146" s="160"/>
      <c r="D146" s="84" t="s">
        <v>281</v>
      </c>
      <c r="G146" s="34" t="s">
        <v>340</v>
      </c>
      <c r="H146" s="84"/>
      <c r="J146" s="33"/>
      <c r="K146" s="38" t="s">
        <v>329</v>
      </c>
      <c r="L146" s="38" t="s">
        <v>201</v>
      </c>
      <c r="M146" s="84"/>
      <c r="N146" s="84"/>
      <c r="O146" s="100"/>
      <c r="Q146" s="35"/>
      <c r="R146" s="50" t="str">
        <f>IF(AND(ISNUMBER(G147),ISNUMBER(C146)),SUM(R147,R150:R152),"")</f>
        <v/>
      </c>
      <c r="S146" s="102" t="s">
        <v>172</v>
      </c>
      <c r="T146" s="36"/>
      <c r="U146" s="36"/>
      <c r="V146" s="36"/>
      <c r="W146" s="36"/>
      <c r="X146" s="36"/>
      <c r="Y146" s="36"/>
      <c r="Z146" s="36"/>
      <c r="AA146" s="36"/>
      <c r="AB146" s="108"/>
      <c r="AC146" s="36"/>
      <c r="AD146" s="36"/>
      <c r="AE146" s="36"/>
      <c r="AF146" s="36"/>
      <c r="AG146" s="36"/>
      <c r="AH146" s="36"/>
      <c r="AI146" s="36"/>
      <c r="AJ146" s="36"/>
      <c r="AK146" s="36"/>
      <c r="AL146" s="36"/>
      <c r="AM146" s="36"/>
      <c r="AN146" s="37"/>
      <c r="AO146" s="37"/>
      <c r="AP146" s="37"/>
      <c r="AQ146" s="37"/>
      <c r="AR146" s="37"/>
      <c r="AS146" s="37"/>
      <c r="AT146" s="37"/>
      <c r="AU146" s="37"/>
      <c r="AV146" s="37"/>
      <c r="AW146" s="37"/>
      <c r="AX146" s="37"/>
      <c r="AY146" s="37"/>
      <c r="AZ146" s="37"/>
      <c r="BA146" s="37"/>
      <c r="BB146" s="37"/>
      <c r="BC146" s="37"/>
      <c r="BD146" s="37"/>
      <c r="BE146" s="37"/>
    </row>
    <row r="147" spans="2:57" s="31" customFormat="1" ht="46.5" x14ac:dyDescent="0.3">
      <c r="B147" s="155" t="s">
        <v>728</v>
      </c>
      <c r="C147" s="396" t="s">
        <v>283</v>
      </c>
      <c r="D147" s="397"/>
      <c r="G147" s="156"/>
      <c r="H147" s="84" t="s">
        <v>5</v>
      </c>
      <c r="J147" s="173" t="s">
        <v>441</v>
      </c>
      <c r="K147" s="96">
        <f>IF(ISNUMBER(L147),L147,IF(C147=Pudotusvalikot!$N$4,Kalusto!$G$105,IF(C147=Pudotusvalikot!$N$5,Kalusto!$G$106,IF(C147=Pudotusvalikot!$N$6,Kalusto!$G$107,IF(C147=Pudotusvalikot!$N$7,Kalusto!$G$108,Kalusto!$G$105))))*IF(OR(C149=Pudotusvalikot!$V$3,C149=Pudotusvalikot!$V$4),Muut!$E$38,IF(C149=Pudotusvalikot!$V$5,Muut!$E$39,IF(C149=Pudotusvalikot!$V$6,Muut!$E$40,Muut!$E$41))))</f>
        <v>4.9950000000000001E-2</v>
      </c>
      <c r="L147" s="40"/>
      <c r="M147" s="41" t="s">
        <v>200</v>
      </c>
      <c r="N147" s="41"/>
      <c r="O147" s="265"/>
      <c r="Q147" s="35"/>
      <c r="R147" s="50" t="str">
        <f>IF(ISNUMBER(Y148*X148*K147),Y148*X148*K147,"")</f>
        <v/>
      </c>
      <c r="S147" s="102" t="s">
        <v>172</v>
      </c>
      <c r="T147" s="36" t="s">
        <v>446</v>
      </c>
      <c r="U147" s="36" t="s">
        <v>384</v>
      </c>
      <c r="V147" s="36" t="s">
        <v>443</v>
      </c>
      <c r="W147" s="36" t="s">
        <v>444</v>
      </c>
      <c r="X147" s="36" t="s">
        <v>447</v>
      </c>
      <c r="Y147" s="36" t="s">
        <v>449</v>
      </c>
      <c r="Z147" s="36" t="s">
        <v>374</v>
      </c>
      <c r="AA147" s="36"/>
      <c r="AB147" s="108"/>
      <c r="AC147" s="36"/>
      <c r="AD147" s="36"/>
      <c r="AE147" s="36"/>
      <c r="AF147" s="36"/>
      <c r="AG147" s="36"/>
      <c r="AH147" s="36"/>
      <c r="AI147" s="36"/>
      <c r="AJ147" s="36"/>
      <c r="AK147" s="36"/>
      <c r="AL147" s="36"/>
      <c r="AM147" s="36"/>
      <c r="AN147" s="37"/>
      <c r="AO147" s="37"/>
      <c r="AP147" s="37"/>
      <c r="AQ147" s="37"/>
      <c r="AR147" s="37"/>
      <c r="AS147" s="37"/>
      <c r="AT147" s="37"/>
      <c r="AU147" s="37"/>
      <c r="AV147" s="37"/>
      <c r="AW147" s="37"/>
      <c r="AX147" s="37"/>
      <c r="AY147" s="37"/>
      <c r="AZ147" s="37"/>
      <c r="BA147" s="37"/>
      <c r="BB147" s="37"/>
      <c r="BC147" s="37"/>
      <c r="BD147" s="37"/>
      <c r="BE147" s="37"/>
    </row>
    <row r="148" spans="2:57" s="31" customFormat="1" ht="31" x14ac:dyDescent="0.3">
      <c r="B148" s="78" t="s">
        <v>530</v>
      </c>
      <c r="C148" s="392" t="s">
        <v>93</v>
      </c>
      <c r="D148" s="393"/>
      <c r="E148" s="393"/>
      <c r="F148" s="393"/>
      <c r="G148" s="394"/>
      <c r="J148" s="33"/>
      <c r="K148" s="38" t="s">
        <v>329</v>
      </c>
      <c r="L148" s="38" t="s">
        <v>201</v>
      </c>
      <c r="M148" s="41"/>
      <c r="N148" s="41"/>
      <c r="O148" s="265"/>
      <c r="Q148" s="47"/>
      <c r="R148" s="108"/>
      <c r="S148" s="36"/>
      <c r="T148" s="48" t="str">
        <f>IF(ISNUMBER(L147),"Kohdetieto",IF(OR(C148=Pudotusvalikot!$D$14,C148=Pudotusvalikot!$D$15),Kalusto!$I$96,VLOOKUP(C148,Kalusto!$C$44:$L$83,7,FALSE)))</f>
        <v>Puoliperävaunu</v>
      </c>
      <c r="U148" s="48">
        <f>IF(ISNUMBER(L147),"Kohdetieto",IF(OR(C148=Pudotusvalikot!$D$14,C148=Pudotusvalikot!$D$15),Kalusto!$J$96,VLOOKUP(C148,Kalusto!$C$44:$L$83,8,FALSE)))</f>
        <v>40</v>
      </c>
      <c r="V148" s="49">
        <f>IF(ISNUMBER(L147),"Kohdetieto",IF(OR(C148=Pudotusvalikot!$D$14,C148=Pudotusvalikot!$D$15),Kalusto!$K$96,VLOOKUP(C148,Kalusto!$C$44:$L$83,9,FALSE)))</f>
        <v>0.8</v>
      </c>
      <c r="W148" s="49" t="str">
        <f>IF(ISNUMBER(L147),"Kohdetieto",IF(OR(C148=Pudotusvalikot!$D$14,C148=Pudotusvalikot!$D$15),Kalusto!$L$96,VLOOKUP(C148,Kalusto!$C$44:$L$83,10,FALSE)))</f>
        <v>maantieajo</v>
      </c>
      <c r="X148" s="50" t="str">
        <f>IF(ISBLANK(C146),"",C146/1000)</f>
        <v/>
      </c>
      <c r="Y148" s="48" t="str">
        <f>IF(ISNUMBER(G147),G147,"")</f>
        <v/>
      </c>
      <c r="Z148" s="51">
        <f>IF(ISNUMBER(L147),L147,K147)</f>
        <v>4.9950000000000001E-2</v>
      </c>
      <c r="AA148" s="36"/>
      <c r="AB148" s="108"/>
      <c r="AC148" s="36"/>
      <c r="AD148" s="36"/>
      <c r="AE148" s="36"/>
      <c r="AF148" s="36"/>
      <c r="AG148" s="36"/>
      <c r="AH148" s="36"/>
      <c r="AI148" s="36"/>
      <c r="AJ148" s="36"/>
      <c r="AK148" s="36"/>
      <c r="AL148" s="36"/>
      <c r="AM148" s="36"/>
      <c r="AN148" s="37"/>
      <c r="AO148" s="37"/>
      <c r="AP148" s="37"/>
      <c r="AQ148" s="37"/>
      <c r="AR148" s="37"/>
      <c r="AS148" s="37"/>
      <c r="AT148" s="37"/>
      <c r="AU148" s="37"/>
      <c r="AV148" s="37"/>
      <c r="AW148" s="37"/>
      <c r="AX148" s="37"/>
      <c r="AY148" s="37"/>
      <c r="AZ148" s="37"/>
      <c r="BA148" s="37"/>
      <c r="BB148" s="37"/>
      <c r="BC148" s="37"/>
      <c r="BD148" s="37"/>
      <c r="BE148" s="37"/>
    </row>
    <row r="149" spans="2:57" s="31" customFormat="1" ht="15.5" x14ac:dyDescent="0.3">
      <c r="B149" s="78" t="s">
        <v>506</v>
      </c>
      <c r="C149" s="160" t="s">
        <v>242</v>
      </c>
      <c r="D149" s="34"/>
      <c r="E149" s="34"/>
      <c r="F149" s="34"/>
      <c r="G149" s="34"/>
      <c r="H149" s="59"/>
      <c r="J149" s="173"/>
      <c r="K149" s="173"/>
      <c r="L149" s="173"/>
      <c r="M149" s="41"/>
      <c r="N149" s="41"/>
      <c r="O149" s="265"/>
      <c r="Q149" s="47"/>
      <c r="R149" s="36"/>
      <c r="S149" s="36"/>
      <c r="T149" s="36"/>
      <c r="U149" s="36"/>
      <c r="V149" s="181"/>
      <c r="W149" s="181"/>
      <c r="X149" s="61"/>
      <c r="Y149" s="36"/>
      <c r="Z149" s="61"/>
      <c r="AA149" s="182"/>
      <c r="AB149" s="61"/>
      <c r="AC149" s="61"/>
      <c r="AD149" s="61"/>
      <c r="AE149" s="61"/>
      <c r="AF149" s="182"/>
      <c r="AG149" s="61"/>
      <c r="AH149" s="36"/>
      <c r="AI149" s="36"/>
      <c r="AJ149" s="36"/>
      <c r="AK149" s="108"/>
      <c r="AL149" s="36"/>
      <c r="AM149" s="36"/>
      <c r="AN149" s="37"/>
      <c r="AO149" s="37"/>
      <c r="AP149" s="37"/>
      <c r="AQ149" s="37"/>
      <c r="AR149" s="37"/>
      <c r="AS149" s="37"/>
      <c r="AT149" s="37"/>
      <c r="AU149" s="37"/>
      <c r="AV149" s="37"/>
      <c r="AW149" s="37"/>
      <c r="AX149" s="37"/>
      <c r="AY149" s="37"/>
      <c r="AZ149" s="37"/>
      <c r="BA149" s="37"/>
      <c r="BB149" s="37"/>
      <c r="BC149" s="37"/>
      <c r="BD149" s="37"/>
      <c r="BE149" s="37"/>
    </row>
    <row r="150" spans="2:57" s="31" customFormat="1" ht="15.5" x14ac:dyDescent="0.3">
      <c r="B150" s="155" t="s">
        <v>542</v>
      </c>
      <c r="C150" s="395" t="s">
        <v>283</v>
      </c>
      <c r="D150" s="395"/>
      <c r="E150" s="169"/>
      <c r="G150" s="156"/>
      <c r="H150" s="84" t="s">
        <v>5</v>
      </c>
      <c r="J150" s="33" t="str">
        <f>IF(C150="Kuljetus","Ei oletusta","Oletus (" &amp; IF(C150="Tiekuljetus",Kalusto!$C$105,IF(C150="Raidekuljetus",Kalusto!$C$106,IF(C150="Laivarahti",Kalusto!$C$107,Kalusto!$C$108))) &amp; ")" )</f>
        <v>Oletus (Puoliperävaunuyhdistelmä, 40 t, 100 % kuorma, maantieajo)</v>
      </c>
      <c r="K150" s="96">
        <f>IF(ISNUMBER(L150),L150,IF(C150=Pudotusvalikot!$N$4,Kalusto!$G$105,IF(C150=Pudotusvalikot!$N$5,Kalusto!$G$106,IF(C150=Pudotusvalikot!$N$6,Kalusto!$G$107,IF(C150=Pudotusvalikot!$N$7,Kalusto!$G$108,Kalusto!$G$105)))))</f>
        <v>4.9950000000000001E-2</v>
      </c>
      <c r="L150" s="40"/>
      <c r="M150" s="41" t="s">
        <v>200</v>
      </c>
      <c r="N150" s="41"/>
      <c r="O150" s="265"/>
      <c r="Q150" s="35"/>
      <c r="R150" s="50" t="str">
        <f>IF(AND(ISNUMBER(G147)*ISNUMBER(C146)),K150*G150*C146,"")</f>
        <v/>
      </c>
      <c r="S150" s="102" t="s">
        <v>172</v>
      </c>
      <c r="T150" s="36"/>
      <c r="U150" s="36"/>
      <c r="V150" s="36"/>
      <c r="W150" s="36"/>
      <c r="X150" s="36"/>
      <c r="Y150" s="36"/>
      <c r="Z150" s="36"/>
      <c r="AA150" s="36"/>
      <c r="AB150" s="108"/>
      <c r="AC150" s="36"/>
      <c r="AD150" s="36"/>
      <c r="AE150" s="36"/>
      <c r="AF150" s="36"/>
      <c r="AG150" s="36"/>
      <c r="AH150" s="36"/>
      <c r="AI150" s="36"/>
      <c r="AJ150" s="36"/>
      <c r="AK150" s="36"/>
      <c r="AL150" s="36"/>
      <c r="AM150" s="36"/>
      <c r="AN150" s="37"/>
      <c r="AO150" s="37"/>
      <c r="AP150" s="37"/>
      <c r="AQ150" s="37"/>
      <c r="AR150" s="37"/>
      <c r="AS150" s="37"/>
      <c r="AT150" s="37"/>
      <c r="AU150" s="37"/>
      <c r="AV150" s="37"/>
      <c r="AW150" s="37"/>
      <c r="AX150" s="37"/>
      <c r="AY150" s="37"/>
      <c r="AZ150" s="37"/>
      <c r="BA150" s="37"/>
      <c r="BB150" s="37"/>
      <c r="BC150" s="37"/>
      <c r="BD150" s="37"/>
      <c r="BE150" s="37"/>
    </row>
    <row r="151" spans="2:57" s="31" customFormat="1" ht="15.5" x14ac:dyDescent="0.3">
      <c r="B151" s="155" t="s">
        <v>542</v>
      </c>
      <c r="C151" s="395" t="s">
        <v>284</v>
      </c>
      <c r="D151" s="395"/>
      <c r="E151" s="169"/>
      <c r="G151" s="156"/>
      <c r="H151" s="84" t="s">
        <v>5</v>
      </c>
      <c r="J151" s="33" t="str">
        <f>IF(C151="Kuljetus","Ei oletusta","Oletus (" &amp; IF(C151="Tiekuljetus",Kalusto!$C$105,IF(C151="Raidekuljetus",Kalusto!$C$106,IF(C151="Laivarahti",Kalusto!$C$107,Kalusto!$C$108))) &amp; ")" )</f>
        <v>Oletus (Merikuljetus, konttilaiva, 1000 TEU)</v>
      </c>
      <c r="K151" s="96">
        <f>IF(ISNUMBER(L151),L151,IF(C151=Pudotusvalikot!$N$4,Kalusto!$G$105,IF(C151=Pudotusvalikot!$N$5,Kalusto!$G$106,IF(C151=Pudotusvalikot!$N$6,Kalusto!$G$107,IF(C151=Pudotusvalikot!$N$7,Kalusto!$G$108,"--")))))</f>
        <v>4.4999999999999998E-2</v>
      </c>
      <c r="L151" s="40"/>
      <c r="M151" s="41" t="s">
        <v>200</v>
      </c>
      <c r="N151" s="41"/>
      <c r="O151" s="265"/>
      <c r="Q151" s="35"/>
      <c r="R151" s="50" t="str">
        <f>IF(AND(ISNUMBER(G147)*ISNUMBER(C146)),K151*G151*C146,"")</f>
        <v/>
      </c>
      <c r="S151" s="102" t="s">
        <v>172</v>
      </c>
      <c r="T151" s="36"/>
      <c r="U151" s="36"/>
      <c r="V151" s="36"/>
      <c r="W151" s="36"/>
      <c r="X151" s="36"/>
      <c r="Y151" s="36"/>
      <c r="Z151" s="36"/>
      <c r="AA151" s="36"/>
      <c r="AB151" s="108"/>
      <c r="AC151" s="36"/>
      <c r="AD151" s="36"/>
      <c r="AE151" s="36"/>
      <c r="AF151" s="36"/>
      <c r="AG151" s="36"/>
      <c r="AH151" s="36"/>
      <c r="AI151" s="36"/>
      <c r="AJ151" s="36"/>
      <c r="AK151" s="36"/>
      <c r="AL151" s="36"/>
      <c r="AM151" s="36"/>
      <c r="AN151" s="37"/>
      <c r="AO151" s="37"/>
      <c r="AP151" s="37"/>
      <c r="AQ151" s="37"/>
      <c r="AR151" s="37"/>
      <c r="AS151" s="37"/>
      <c r="AT151" s="37"/>
      <c r="AU151" s="37"/>
      <c r="AV151" s="37"/>
      <c r="AW151" s="37"/>
      <c r="AX151" s="37"/>
      <c r="AY151" s="37"/>
      <c r="AZ151" s="37"/>
      <c r="BA151" s="37"/>
      <c r="BB151" s="37"/>
      <c r="BC151" s="37"/>
      <c r="BD151" s="37"/>
      <c r="BE151" s="37"/>
    </row>
    <row r="152" spans="2:57" s="31" customFormat="1" ht="15.5" x14ac:dyDescent="0.3">
      <c r="B152" s="155" t="s">
        <v>542</v>
      </c>
      <c r="C152" s="395" t="s">
        <v>283</v>
      </c>
      <c r="D152" s="395"/>
      <c r="E152" s="169"/>
      <c r="G152" s="156"/>
      <c r="H152" s="84" t="s">
        <v>5</v>
      </c>
      <c r="J152" s="33" t="str">
        <f>IF(C152="Kuljetus","Ei oletusta","Oletus (" &amp; IF(C152="Tiekuljetus",Kalusto!$C$105,IF(C152="Raidekuljetus",Kalusto!$C$106,IF(C152="Laivarahti",Kalusto!$C$107,Kalusto!$C$108))) &amp; ")" )</f>
        <v>Oletus (Puoliperävaunuyhdistelmä, 40 t, 100 % kuorma, maantieajo)</v>
      </c>
      <c r="K152" s="96">
        <f>IF(ISNUMBER(L152),L152,IF(C152=Pudotusvalikot!$N$4,Kalusto!$G$105,IF(C152=Pudotusvalikot!$N$5,Kalusto!$G$106,IF(C152=Pudotusvalikot!$N$6,Kalusto!$G$107,IF(C152=Pudotusvalikot!$N$7,Kalusto!$G$108,"--")))))</f>
        <v>4.9950000000000001E-2</v>
      </c>
      <c r="L152" s="40"/>
      <c r="M152" s="41" t="s">
        <v>200</v>
      </c>
      <c r="N152" s="41"/>
      <c r="O152" s="265"/>
      <c r="Q152" s="35"/>
      <c r="R152" s="50" t="str">
        <f>IF(AND(ISNUMBER(G147)*ISNUMBER(C146)),K152*G152*C146,"")</f>
        <v/>
      </c>
      <c r="S152" s="102" t="s">
        <v>172</v>
      </c>
      <c r="T152" s="36"/>
      <c r="U152" s="36"/>
      <c r="V152" s="36"/>
      <c r="W152" s="36"/>
      <c r="X152" s="36"/>
      <c r="Y152" s="36"/>
      <c r="Z152" s="36"/>
      <c r="AA152" s="36"/>
      <c r="AB152" s="108"/>
      <c r="AC152" s="36"/>
      <c r="AD152" s="36"/>
      <c r="AE152" s="36"/>
      <c r="AF152" s="36"/>
      <c r="AG152" s="36"/>
      <c r="AH152" s="36"/>
      <c r="AI152" s="36"/>
      <c r="AJ152" s="36"/>
      <c r="AK152" s="36"/>
      <c r="AL152" s="36"/>
      <c r="AM152" s="36"/>
      <c r="AN152" s="37"/>
      <c r="AO152" s="37"/>
      <c r="AP152" s="37"/>
      <c r="AQ152" s="37"/>
      <c r="AR152" s="37"/>
      <c r="AS152" s="37"/>
      <c r="AT152" s="37"/>
      <c r="AU152" s="37"/>
      <c r="AV152" s="37"/>
      <c r="AW152" s="37"/>
      <c r="AX152" s="37"/>
      <c r="AY152" s="37"/>
      <c r="AZ152" s="37"/>
      <c r="BA152" s="37"/>
      <c r="BB152" s="37"/>
      <c r="BC152" s="37"/>
      <c r="BD152" s="37"/>
      <c r="BE152" s="37"/>
    </row>
    <row r="153" spans="2:57" s="31" customFormat="1" ht="15.5" x14ac:dyDescent="0.3">
      <c r="B153" s="9" t="str">
        <f>B127</f>
        <v>Kasvi-, kemikaali-, tuote- tai materiaalilaji 2</v>
      </c>
      <c r="C153" s="34"/>
      <c r="D153" s="84"/>
      <c r="G153" s="72"/>
      <c r="H153" s="84"/>
      <c r="J153" s="33"/>
      <c r="K153" s="34"/>
      <c r="L153" s="34"/>
      <c r="M153" s="84"/>
      <c r="N153" s="84"/>
      <c r="O153" s="100"/>
      <c r="Q153" s="35"/>
      <c r="R153" s="36" t="s">
        <v>350</v>
      </c>
      <c r="S153" s="36"/>
      <c r="T153" s="36"/>
      <c r="U153" s="36"/>
      <c r="V153" s="36"/>
      <c r="W153" s="36"/>
      <c r="X153" s="36"/>
      <c r="Y153" s="36"/>
      <c r="Z153" s="36"/>
      <c r="AA153" s="36"/>
      <c r="AB153" s="108"/>
      <c r="AC153" s="36"/>
      <c r="AD153" s="36"/>
      <c r="AE153" s="36"/>
      <c r="AF153" s="36"/>
      <c r="AG153" s="36"/>
      <c r="AH153" s="36"/>
      <c r="AI153" s="36"/>
      <c r="AJ153" s="36"/>
      <c r="AK153" s="36"/>
      <c r="AL153" s="36"/>
      <c r="AM153" s="36"/>
      <c r="AN153" s="37"/>
      <c r="AO153" s="37"/>
      <c r="AP153" s="37"/>
      <c r="AQ153" s="37"/>
      <c r="AR153" s="37"/>
      <c r="AS153" s="37"/>
      <c r="AT153" s="37"/>
      <c r="AU153" s="37"/>
      <c r="AV153" s="37"/>
      <c r="AW153" s="37"/>
      <c r="AX153" s="37"/>
      <c r="AY153" s="37"/>
      <c r="AZ153" s="37"/>
      <c r="BA153" s="37"/>
      <c r="BB153" s="37"/>
      <c r="BC153" s="37"/>
      <c r="BD153" s="37"/>
      <c r="BE153" s="37"/>
    </row>
    <row r="154" spans="2:57" s="31" customFormat="1" ht="15.5" x14ac:dyDescent="0.3">
      <c r="B154" s="54" t="s">
        <v>375</v>
      </c>
      <c r="C154" s="160"/>
      <c r="D154" s="84" t="s">
        <v>281</v>
      </c>
      <c r="G154" s="34"/>
      <c r="H154" s="84"/>
      <c r="J154" s="33"/>
      <c r="K154" s="38" t="s">
        <v>329</v>
      </c>
      <c r="L154" s="38" t="s">
        <v>201</v>
      </c>
      <c r="M154" s="84"/>
      <c r="N154" s="84"/>
      <c r="O154" s="100"/>
      <c r="Q154" s="35"/>
      <c r="R154" s="50" t="str">
        <f>IF(AND(ISNUMBER(G155),ISNUMBER(C154)),SUM(R155,R158:R160),"")</f>
        <v/>
      </c>
      <c r="S154" s="102" t="s">
        <v>172</v>
      </c>
      <c r="T154" s="36"/>
      <c r="U154" s="36"/>
      <c r="V154" s="36"/>
      <c r="W154" s="36"/>
      <c r="X154" s="36"/>
      <c r="Y154" s="36"/>
      <c r="Z154" s="36"/>
      <c r="AA154" s="36"/>
      <c r="AB154" s="108"/>
      <c r="AC154" s="36"/>
      <c r="AD154" s="36"/>
      <c r="AE154" s="36"/>
      <c r="AF154" s="36"/>
      <c r="AG154" s="36"/>
      <c r="AH154" s="36"/>
      <c r="AI154" s="36"/>
      <c r="AJ154" s="36"/>
      <c r="AK154" s="36"/>
      <c r="AL154" s="36"/>
      <c r="AM154" s="36"/>
      <c r="AN154" s="37"/>
      <c r="AO154" s="37"/>
      <c r="AP154" s="37"/>
      <c r="AQ154" s="37"/>
      <c r="AR154" s="37"/>
      <c r="AS154" s="37"/>
      <c r="AT154" s="37"/>
      <c r="AU154" s="37"/>
      <c r="AV154" s="37"/>
      <c r="AW154" s="37"/>
      <c r="AX154" s="37"/>
      <c r="AY154" s="37"/>
      <c r="AZ154" s="37"/>
      <c r="BA154" s="37"/>
      <c r="BB154" s="37"/>
      <c r="BC154" s="37"/>
      <c r="BD154" s="37"/>
      <c r="BE154" s="37"/>
    </row>
    <row r="155" spans="2:57" s="31" customFormat="1" ht="46.5" x14ac:dyDescent="0.3">
      <c r="B155" s="155" t="s">
        <v>728</v>
      </c>
      <c r="C155" s="396" t="s">
        <v>283</v>
      </c>
      <c r="D155" s="397"/>
      <c r="G155" s="156"/>
      <c r="H155" s="84" t="s">
        <v>5</v>
      </c>
      <c r="J155" s="173" t="s">
        <v>441</v>
      </c>
      <c r="K155" s="96">
        <f>IF(ISNUMBER(L155),L155,IF(C155=Pudotusvalikot!$N$4,Kalusto!$G$105,IF(C155=Pudotusvalikot!$N$5,Kalusto!$G$106,IF(C155=Pudotusvalikot!$N$6,Kalusto!$G$107,IF(C155=Pudotusvalikot!$N$7,Kalusto!$G$108,Kalusto!$G$105))))*IF(OR(C157=Pudotusvalikot!$V$3,C157=Pudotusvalikot!$V$4),Muut!$E$38,IF(C157=Pudotusvalikot!$V$5,Muut!$E$39,IF(C157=Pudotusvalikot!$V$6,Muut!$E$40,Muut!$E$41))))</f>
        <v>4.9950000000000001E-2</v>
      </c>
      <c r="L155" s="40"/>
      <c r="M155" s="41" t="s">
        <v>200</v>
      </c>
      <c r="N155" s="41"/>
      <c r="O155" s="265"/>
      <c r="Q155" s="35"/>
      <c r="R155" s="50" t="str">
        <f>IF(ISNUMBER(Y156*X156*K155),Y156*X156*K155,"")</f>
        <v/>
      </c>
      <c r="S155" s="102" t="s">
        <v>172</v>
      </c>
      <c r="T155" s="36" t="s">
        <v>446</v>
      </c>
      <c r="U155" s="36" t="s">
        <v>384</v>
      </c>
      <c r="V155" s="36" t="s">
        <v>443</v>
      </c>
      <c r="W155" s="36" t="s">
        <v>444</v>
      </c>
      <c r="X155" s="36" t="s">
        <v>447</v>
      </c>
      <c r="Y155" s="36" t="s">
        <v>449</v>
      </c>
      <c r="Z155" s="36" t="s">
        <v>374</v>
      </c>
      <c r="AA155" s="36"/>
      <c r="AB155" s="108"/>
      <c r="AC155" s="36"/>
      <c r="AD155" s="36"/>
      <c r="AE155" s="36"/>
      <c r="AF155" s="36"/>
      <c r="AG155" s="36"/>
      <c r="AH155" s="36"/>
      <c r="AI155" s="36"/>
      <c r="AJ155" s="36"/>
      <c r="AK155" s="36"/>
      <c r="AL155" s="36"/>
      <c r="AM155" s="36"/>
      <c r="AN155" s="37"/>
      <c r="AO155" s="37"/>
      <c r="AP155" s="37"/>
      <c r="AQ155" s="37"/>
      <c r="AR155" s="37"/>
      <c r="AS155" s="37"/>
      <c r="AT155" s="37"/>
      <c r="AU155" s="37"/>
      <c r="AV155" s="37"/>
      <c r="AW155" s="37"/>
      <c r="AX155" s="37"/>
      <c r="AY155" s="37"/>
      <c r="AZ155" s="37"/>
      <c r="BA155" s="37"/>
      <c r="BB155" s="37"/>
      <c r="BC155" s="37"/>
      <c r="BD155" s="37"/>
      <c r="BE155" s="37"/>
    </row>
    <row r="156" spans="2:57" s="31" customFormat="1" ht="15.5" x14ac:dyDescent="0.3">
      <c r="B156" s="78" t="s">
        <v>377</v>
      </c>
      <c r="C156" s="392" t="s">
        <v>93</v>
      </c>
      <c r="D156" s="393"/>
      <c r="E156" s="393"/>
      <c r="F156" s="393"/>
      <c r="G156" s="394"/>
      <c r="J156" s="33"/>
      <c r="K156" s="38" t="s">
        <v>329</v>
      </c>
      <c r="L156" s="38" t="s">
        <v>201</v>
      </c>
      <c r="M156" s="41"/>
      <c r="N156" s="41"/>
      <c r="O156" s="265"/>
      <c r="Q156" s="47"/>
      <c r="R156" s="108"/>
      <c r="S156" s="36"/>
      <c r="T156" s="48" t="str">
        <f>IF(ISNUMBER(L155),"Kohdetieto",IF(OR(C156=Pudotusvalikot!$D$14,C156=Pudotusvalikot!$D$15),Kalusto!$I$96,VLOOKUP(C156,Kalusto!$C$44:$L$83,7,FALSE)))</f>
        <v>Puoliperävaunu</v>
      </c>
      <c r="U156" s="48">
        <f>IF(ISNUMBER(L155),"Kohdetieto",IF(OR(C156=Pudotusvalikot!$D$14,C156=Pudotusvalikot!$D$15),Kalusto!$J$96,VLOOKUP(C156,Kalusto!$C$44:$L$83,8,FALSE)))</f>
        <v>40</v>
      </c>
      <c r="V156" s="49">
        <f>IF(ISNUMBER(L155),"Kohdetieto",IF(OR(C156=Pudotusvalikot!$D$14,C156=Pudotusvalikot!$D$15),Kalusto!$K$96,VLOOKUP(C156,Kalusto!$C$44:$L$83,9,FALSE)))</f>
        <v>0.8</v>
      </c>
      <c r="W156" s="49" t="str">
        <f>IF(ISNUMBER(L155),"Kohdetieto",IF(OR(C156=Pudotusvalikot!$D$14,C156=Pudotusvalikot!$D$15),Kalusto!$L$96,VLOOKUP(C156,Kalusto!$C$44:$L$83,10,FALSE)))</f>
        <v>maantieajo</v>
      </c>
      <c r="X156" s="50" t="str">
        <f>IF(ISBLANK(C154),"",C154/1000)</f>
        <v/>
      </c>
      <c r="Y156" s="48" t="str">
        <f>IF(ISNUMBER(G155),G155,"")</f>
        <v/>
      </c>
      <c r="Z156" s="51">
        <f>IF(ISNUMBER(L155),L155,K155)</f>
        <v>4.9950000000000001E-2</v>
      </c>
      <c r="AA156" s="36"/>
      <c r="AB156" s="108"/>
      <c r="AC156" s="36"/>
      <c r="AD156" s="36"/>
      <c r="AE156" s="36"/>
      <c r="AF156" s="36"/>
      <c r="AG156" s="36"/>
      <c r="AH156" s="36"/>
      <c r="AI156" s="36"/>
      <c r="AJ156" s="36"/>
      <c r="AK156" s="36"/>
      <c r="AL156" s="36"/>
      <c r="AM156" s="36"/>
      <c r="AN156" s="37"/>
      <c r="AO156" s="37"/>
      <c r="AP156" s="37"/>
      <c r="AQ156" s="37"/>
      <c r="AR156" s="37"/>
      <c r="AS156" s="37"/>
      <c r="AT156" s="37"/>
      <c r="AU156" s="37"/>
      <c r="AV156" s="37"/>
      <c r="AW156" s="37"/>
      <c r="AX156" s="37"/>
      <c r="AY156" s="37"/>
      <c r="AZ156" s="37"/>
      <c r="BA156" s="37"/>
      <c r="BB156" s="37"/>
      <c r="BC156" s="37"/>
      <c r="BD156" s="37"/>
      <c r="BE156" s="37"/>
    </row>
    <row r="157" spans="2:57" s="31" customFormat="1" ht="15.5" x14ac:dyDescent="0.3">
      <c r="B157" s="78" t="s">
        <v>506</v>
      </c>
      <c r="C157" s="160" t="s">
        <v>242</v>
      </c>
      <c r="D157" s="34"/>
      <c r="E157" s="34"/>
      <c r="F157" s="34"/>
      <c r="G157" s="34"/>
      <c r="H157" s="59"/>
      <c r="J157" s="173"/>
      <c r="K157" s="173"/>
      <c r="L157" s="173"/>
      <c r="M157" s="41"/>
      <c r="N157" s="41"/>
      <c r="O157" s="265"/>
      <c r="Q157" s="47"/>
      <c r="R157" s="36"/>
      <c r="S157" s="36"/>
      <c r="T157" s="36"/>
      <c r="U157" s="36"/>
      <c r="V157" s="181"/>
      <c r="W157" s="181"/>
      <c r="X157" s="61"/>
      <c r="Y157" s="36"/>
      <c r="Z157" s="61"/>
      <c r="AA157" s="182"/>
      <c r="AB157" s="61"/>
      <c r="AC157" s="61"/>
      <c r="AD157" s="61"/>
      <c r="AE157" s="61"/>
      <c r="AF157" s="182"/>
      <c r="AG157" s="61"/>
      <c r="AH157" s="36"/>
      <c r="AI157" s="36"/>
      <c r="AJ157" s="36"/>
      <c r="AK157" s="108"/>
      <c r="AL157" s="36"/>
      <c r="AM157" s="36"/>
      <c r="AN157" s="37"/>
      <c r="AO157" s="37"/>
      <c r="AP157" s="37"/>
      <c r="AQ157" s="37"/>
      <c r="AR157" s="37"/>
      <c r="AS157" s="37"/>
      <c r="AT157" s="37"/>
      <c r="AU157" s="37"/>
      <c r="AV157" s="37"/>
      <c r="AW157" s="37"/>
      <c r="AX157" s="37"/>
      <c r="AY157" s="37"/>
      <c r="AZ157" s="37"/>
      <c r="BA157" s="37"/>
      <c r="BB157" s="37"/>
      <c r="BC157" s="37"/>
      <c r="BD157" s="37"/>
      <c r="BE157" s="37"/>
    </row>
    <row r="158" spans="2:57" s="31" customFormat="1" ht="15.5" x14ac:dyDescent="0.3">
      <c r="B158" s="155" t="s">
        <v>542</v>
      </c>
      <c r="C158" s="395" t="s">
        <v>283</v>
      </c>
      <c r="D158" s="395"/>
      <c r="G158" s="156"/>
      <c r="H158" s="84" t="s">
        <v>5</v>
      </c>
      <c r="J158" s="33" t="str">
        <f>IF(C158="Kuljetus","Ei oletusta","Oletus (" &amp; IF(C158="Tiekuljetus",Kalusto!$C$105,IF(C158="Raidekuljetus",Kalusto!$C$106,IF(C158="Laivarahti",Kalusto!$C$107,Kalusto!$C$108))) &amp; ")" )</f>
        <v>Oletus (Puoliperävaunuyhdistelmä, 40 t, 100 % kuorma, maantieajo)</v>
      </c>
      <c r="K158" s="96">
        <f>IF(ISNUMBER(L158),L158,IF(C158=Pudotusvalikot!$N$4,Kalusto!$G$105,IF(C158=Pudotusvalikot!$N$5,Kalusto!$G$106,IF(C158=Pudotusvalikot!$N$6,Kalusto!$G$107,IF(C158=Pudotusvalikot!$N$7,Kalusto!$G$108,Kalusto!$G$105)))))</f>
        <v>4.9950000000000001E-2</v>
      </c>
      <c r="L158" s="40"/>
      <c r="M158" s="41" t="s">
        <v>200</v>
      </c>
      <c r="N158" s="41"/>
      <c r="O158" s="265"/>
      <c r="Q158" s="35"/>
      <c r="R158" s="50" t="str">
        <f>IF(AND(ISNUMBER(G155)*ISNUMBER(C154)),K158*G158*C154,"")</f>
        <v/>
      </c>
      <c r="S158" s="102" t="s">
        <v>172</v>
      </c>
      <c r="T158" s="36"/>
      <c r="U158" s="36"/>
      <c r="V158" s="36"/>
      <c r="W158" s="36"/>
      <c r="X158" s="36"/>
      <c r="Y158" s="36"/>
      <c r="Z158" s="36"/>
      <c r="AA158" s="36"/>
      <c r="AB158" s="108"/>
      <c r="AC158" s="36"/>
      <c r="AD158" s="36"/>
      <c r="AE158" s="36"/>
      <c r="AF158" s="36"/>
      <c r="AG158" s="36"/>
      <c r="AH158" s="36"/>
      <c r="AI158" s="36"/>
      <c r="AJ158" s="36"/>
      <c r="AK158" s="36"/>
      <c r="AL158" s="36"/>
      <c r="AM158" s="36"/>
      <c r="AN158" s="37"/>
      <c r="AO158" s="37"/>
      <c r="AP158" s="37"/>
      <c r="AQ158" s="37"/>
      <c r="AR158" s="37"/>
      <c r="AS158" s="37"/>
      <c r="AT158" s="37"/>
      <c r="AU158" s="37"/>
      <c r="AV158" s="37"/>
      <c r="AW158" s="37"/>
      <c r="AX158" s="37"/>
      <c r="AY158" s="37"/>
      <c r="AZ158" s="37"/>
      <c r="BA158" s="37"/>
      <c r="BB158" s="37"/>
      <c r="BC158" s="37"/>
      <c r="BD158" s="37"/>
      <c r="BE158" s="37"/>
    </row>
    <row r="159" spans="2:57" s="31" customFormat="1" ht="15.5" x14ac:dyDescent="0.3">
      <c r="B159" s="155" t="s">
        <v>542</v>
      </c>
      <c r="C159" s="395" t="s">
        <v>284</v>
      </c>
      <c r="D159" s="395"/>
      <c r="G159" s="156"/>
      <c r="H159" s="84" t="s">
        <v>5</v>
      </c>
      <c r="J159" s="33" t="str">
        <f>IF(C159="Kuljetus","Ei oletusta","Oletus (" &amp; IF(C159="Tiekuljetus",Kalusto!$C$105,IF(C159="Raidekuljetus",Kalusto!$C$106,IF(C159="Laivarahti",Kalusto!$C$107,Kalusto!$C$108))) &amp; ")" )</f>
        <v>Oletus (Merikuljetus, konttilaiva, 1000 TEU)</v>
      </c>
      <c r="K159" s="96">
        <f>IF(ISNUMBER(L159),L159,IF(C159=Pudotusvalikot!$N$4,Kalusto!$G$105,IF(C159=Pudotusvalikot!$N$5,Kalusto!$G$106,IF(C159=Pudotusvalikot!$N$6,Kalusto!$G$107,IF(C159=Pudotusvalikot!$N$7,Kalusto!$G$108,"--")))))</f>
        <v>4.4999999999999998E-2</v>
      </c>
      <c r="L159" s="40"/>
      <c r="M159" s="41" t="s">
        <v>200</v>
      </c>
      <c r="N159" s="41"/>
      <c r="O159" s="265"/>
      <c r="Q159" s="35"/>
      <c r="R159" s="50" t="str">
        <f>IF(AND(ISNUMBER(G155)*ISNUMBER(C154)),K159*G159*C154,"")</f>
        <v/>
      </c>
      <c r="S159" s="102" t="s">
        <v>172</v>
      </c>
      <c r="T159" s="36"/>
      <c r="U159" s="36"/>
      <c r="V159" s="36"/>
      <c r="W159" s="36"/>
      <c r="X159" s="36"/>
      <c r="Y159" s="36"/>
      <c r="Z159" s="36"/>
      <c r="AA159" s="36"/>
      <c r="AB159" s="108"/>
      <c r="AC159" s="36"/>
      <c r="AD159" s="36"/>
      <c r="AE159" s="36"/>
      <c r="AF159" s="36"/>
      <c r="AG159" s="36"/>
      <c r="AH159" s="36"/>
      <c r="AI159" s="36"/>
      <c r="AJ159" s="36"/>
      <c r="AK159" s="36"/>
      <c r="AL159" s="36"/>
      <c r="AM159" s="36"/>
      <c r="AN159" s="37"/>
      <c r="AO159" s="37"/>
      <c r="AP159" s="37"/>
      <c r="AQ159" s="37"/>
      <c r="AR159" s="37"/>
      <c r="AS159" s="37"/>
      <c r="AT159" s="37"/>
      <c r="AU159" s="37"/>
      <c r="AV159" s="37"/>
      <c r="AW159" s="37"/>
      <c r="AX159" s="37"/>
      <c r="AY159" s="37"/>
      <c r="AZ159" s="37"/>
      <c r="BA159" s="37"/>
      <c r="BB159" s="37"/>
      <c r="BC159" s="37"/>
      <c r="BD159" s="37"/>
      <c r="BE159" s="37"/>
    </row>
    <row r="160" spans="2:57" s="31" customFormat="1" ht="15.5" x14ac:dyDescent="0.3">
      <c r="B160" s="155" t="s">
        <v>542</v>
      </c>
      <c r="C160" s="395" t="s">
        <v>283</v>
      </c>
      <c r="D160" s="395"/>
      <c r="G160" s="156"/>
      <c r="H160" s="84" t="s">
        <v>5</v>
      </c>
      <c r="J160" s="33" t="str">
        <f>IF(C160="Kuljetus","Ei oletusta","Oletus (" &amp; IF(C160="Tiekuljetus",Kalusto!$C$105,IF(C160="Raidekuljetus",Kalusto!$C$106,IF(C160="Laivarahti",Kalusto!$C$107,Kalusto!$C$108))) &amp; ")" )</f>
        <v>Oletus (Puoliperävaunuyhdistelmä, 40 t, 100 % kuorma, maantieajo)</v>
      </c>
      <c r="K160" s="96">
        <f>IF(ISNUMBER(L160),L160,IF(C160=Pudotusvalikot!$N$4,Kalusto!$G$105,IF(C160=Pudotusvalikot!$N$5,Kalusto!$G$106,IF(C160=Pudotusvalikot!$N$6,Kalusto!$G$107,IF(C160=Pudotusvalikot!$N$7,Kalusto!$G$108,"--")))))</f>
        <v>4.9950000000000001E-2</v>
      </c>
      <c r="L160" s="40"/>
      <c r="M160" s="41" t="s">
        <v>200</v>
      </c>
      <c r="N160" s="41"/>
      <c r="O160" s="265"/>
      <c r="Q160" s="35"/>
      <c r="R160" s="50" t="str">
        <f>IF(AND(ISNUMBER(G155)*ISNUMBER(C154)),K160*G160*C154,"")</f>
        <v/>
      </c>
      <c r="S160" s="102" t="s">
        <v>172</v>
      </c>
      <c r="T160" s="36"/>
      <c r="U160" s="36"/>
      <c r="V160" s="36"/>
      <c r="W160" s="36"/>
      <c r="X160" s="36"/>
      <c r="Y160" s="36"/>
      <c r="Z160" s="36"/>
      <c r="AA160" s="36"/>
      <c r="AB160" s="108"/>
      <c r="AC160" s="36"/>
      <c r="AD160" s="36"/>
      <c r="AE160" s="36"/>
      <c r="AF160" s="36"/>
      <c r="AG160" s="36"/>
      <c r="AH160" s="36"/>
      <c r="AI160" s="36"/>
      <c r="AJ160" s="36"/>
      <c r="AK160" s="36"/>
      <c r="AL160" s="36"/>
      <c r="AM160" s="36"/>
      <c r="AN160" s="37"/>
      <c r="AO160" s="37"/>
      <c r="AP160" s="37"/>
      <c r="AQ160" s="37"/>
      <c r="AR160" s="37"/>
      <c r="AS160" s="37"/>
      <c r="AT160" s="37"/>
      <c r="AU160" s="37"/>
      <c r="AV160" s="37"/>
      <c r="AW160" s="37"/>
      <c r="AX160" s="37"/>
      <c r="AY160" s="37"/>
      <c r="AZ160" s="37"/>
      <c r="BA160" s="37"/>
      <c r="BB160" s="37"/>
      <c r="BC160" s="37"/>
      <c r="BD160" s="37"/>
      <c r="BE160" s="37"/>
    </row>
    <row r="161" spans="2:57" s="31" customFormat="1" ht="15.5" x14ac:dyDescent="0.3">
      <c r="B161" s="9" t="str">
        <f>B130</f>
        <v>Kasvi-, kemikaali-, tuote- tai materiaalilaji 3</v>
      </c>
      <c r="C161" s="34"/>
      <c r="D161" s="84"/>
      <c r="G161" s="72"/>
      <c r="H161" s="84"/>
      <c r="J161" s="33"/>
      <c r="K161" s="34"/>
      <c r="L161" s="34"/>
      <c r="M161" s="84"/>
      <c r="N161" s="84"/>
      <c r="O161" s="100"/>
      <c r="Q161" s="35"/>
      <c r="R161" s="36" t="s">
        <v>350</v>
      </c>
      <c r="S161" s="36"/>
      <c r="T161" s="36"/>
      <c r="U161" s="36"/>
      <c r="V161" s="36"/>
      <c r="W161" s="36"/>
      <c r="X161" s="36"/>
      <c r="Y161" s="36"/>
      <c r="Z161" s="36"/>
      <c r="AA161" s="36"/>
      <c r="AB161" s="108"/>
      <c r="AC161" s="36"/>
      <c r="AD161" s="36"/>
      <c r="AE161" s="36"/>
      <c r="AF161" s="36"/>
      <c r="AG161" s="36"/>
      <c r="AH161" s="36"/>
      <c r="AI161" s="36"/>
      <c r="AJ161" s="36"/>
      <c r="AK161" s="36"/>
      <c r="AL161" s="36"/>
      <c r="AM161" s="36"/>
      <c r="AN161" s="37"/>
      <c r="AO161" s="37"/>
      <c r="AP161" s="37"/>
      <c r="AQ161" s="37"/>
      <c r="AR161" s="37"/>
      <c r="AS161" s="37"/>
      <c r="AT161" s="37"/>
      <c r="AU161" s="37"/>
      <c r="AV161" s="37"/>
      <c r="AW161" s="37"/>
      <c r="AX161" s="37"/>
      <c r="AY161" s="37"/>
      <c r="AZ161" s="37"/>
      <c r="BA161" s="37"/>
      <c r="BB161" s="37"/>
      <c r="BC161" s="37"/>
      <c r="BD161" s="37"/>
      <c r="BE161" s="37"/>
    </row>
    <row r="162" spans="2:57" s="31" customFormat="1" ht="15.5" x14ac:dyDescent="0.3">
      <c r="B162" s="54" t="s">
        <v>375</v>
      </c>
      <c r="C162" s="160"/>
      <c r="D162" s="84" t="s">
        <v>281</v>
      </c>
      <c r="G162" s="34"/>
      <c r="H162" s="84"/>
      <c r="J162" s="33"/>
      <c r="K162" s="38" t="s">
        <v>329</v>
      </c>
      <c r="L162" s="38" t="s">
        <v>201</v>
      </c>
      <c r="M162" s="84"/>
      <c r="N162" s="84"/>
      <c r="O162" s="100"/>
      <c r="Q162" s="35"/>
      <c r="R162" s="50" t="str">
        <f>IF(AND(ISNUMBER(G163),ISNUMBER(C162)),SUM(R163,R166:R168),"")</f>
        <v/>
      </c>
      <c r="S162" s="102" t="s">
        <v>172</v>
      </c>
      <c r="T162" s="36"/>
      <c r="U162" s="36"/>
      <c r="V162" s="36"/>
      <c r="W162" s="36"/>
      <c r="X162" s="36"/>
      <c r="Y162" s="36"/>
      <c r="Z162" s="36"/>
      <c r="AA162" s="36"/>
      <c r="AB162" s="108"/>
      <c r="AC162" s="36"/>
      <c r="AD162" s="36"/>
      <c r="AE162" s="36"/>
      <c r="AF162" s="36"/>
      <c r="AG162" s="36"/>
      <c r="AH162" s="36"/>
      <c r="AI162" s="36"/>
      <c r="AJ162" s="36"/>
      <c r="AK162" s="36"/>
      <c r="AL162" s="36"/>
      <c r="AM162" s="36"/>
      <c r="AN162" s="37"/>
      <c r="AO162" s="37"/>
      <c r="AP162" s="37"/>
      <c r="AQ162" s="37"/>
      <c r="AR162" s="37"/>
      <c r="AS162" s="37"/>
      <c r="AT162" s="37"/>
      <c r="AU162" s="37"/>
      <c r="AV162" s="37"/>
      <c r="AW162" s="37"/>
      <c r="AX162" s="37"/>
      <c r="AY162" s="37"/>
      <c r="AZ162" s="37"/>
      <c r="BA162" s="37"/>
      <c r="BB162" s="37"/>
      <c r="BC162" s="37"/>
      <c r="BD162" s="37"/>
      <c r="BE162" s="37"/>
    </row>
    <row r="163" spans="2:57" s="31" customFormat="1" ht="46.5" x14ac:dyDescent="0.3">
      <c r="B163" s="155" t="s">
        <v>728</v>
      </c>
      <c r="C163" s="396" t="s">
        <v>283</v>
      </c>
      <c r="D163" s="397"/>
      <c r="G163" s="156"/>
      <c r="H163" s="84" t="s">
        <v>5</v>
      </c>
      <c r="J163" s="173" t="s">
        <v>441</v>
      </c>
      <c r="K163" s="96">
        <f>IF(ISNUMBER(L163),L163,IF(C163=Pudotusvalikot!$N$4,Kalusto!$G$105,IF(C163=Pudotusvalikot!$N$5,Kalusto!$G$106,IF(C163=Pudotusvalikot!$N$6,Kalusto!$G$107,IF(C163=Pudotusvalikot!$N$7,Kalusto!$G$108,Kalusto!$G$105))))*IF(OR(C165=Pudotusvalikot!$V$3,C165=Pudotusvalikot!$V$4),Muut!$E$38,IF(C165=Pudotusvalikot!$V$5,Muut!$E$39,IF(C165=Pudotusvalikot!$V$6,Muut!$E$40,Muut!$E$41))))</f>
        <v>4.9950000000000001E-2</v>
      </c>
      <c r="L163" s="40"/>
      <c r="M163" s="41" t="s">
        <v>200</v>
      </c>
      <c r="N163" s="41"/>
      <c r="O163" s="265"/>
      <c r="Q163" s="35"/>
      <c r="R163" s="50" t="str">
        <f>IF(ISNUMBER(Y164*X164*K163),Y164*X164*K163,"")</f>
        <v/>
      </c>
      <c r="S163" s="102" t="s">
        <v>172</v>
      </c>
      <c r="T163" s="36" t="s">
        <v>446</v>
      </c>
      <c r="U163" s="36" t="s">
        <v>384</v>
      </c>
      <c r="V163" s="36" t="s">
        <v>443</v>
      </c>
      <c r="W163" s="36" t="s">
        <v>444</v>
      </c>
      <c r="X163" s="36" t="s">
        <v>447</v>
      </c>
      <c r="Y163" s="36" t="s">
        <v>449</v>
      </c>
      <c r="Z163" s="36" t="s">
        <v>374</v>
      </c>
      <c r="AA163" s="36"/>
      <c r="AB163" s="108"/>
      <c r="AC163" s="36"/>
      <c r="AD163" s="36"/>
      <c r="AE163" s="36"/>
      <c r="AF163" s="36"/>
      <c r="AG163" s="36"/>
      <c r="AH163" s="36"/>
      <c r="AI163" s="36"/>
      <c r="AJ163" s="36"/>
      <c r="AK163" s="36"/>
      <c r="AL163" s="36"/>
      <c r="AM163" s="36"/>
      <c r="AN163" s="37"/>
      <c r="AO163" s="37"/>
      <c r="AP163" s="37"/>
      <c r="AQ163" s="37"/>
      <c r="AR163" s="37"/>
      <c r="AS163" s="37"/>
      <c r="AT163" s="37"/>
      <c r="AU163" s="37"/>
      <c r="AV163" s="37"/>
      <c r="AW163" s="37"/>
      <c r="AX163" s="37"/>
      <c r="AY163" s="37"/>
      <c r="AZ163" s="37"/>
      <c r="BA163" s="37"/>
      <c r="BB163" s="37"/>
      <c r="BC163" s="37"/>
      <c r="BD163" s="37"/>
      <c r="BE163" s="37"/>
    </row>
    <row r="164" spans="2:57" s="31" customFormat="1" ht="15.5" x14ac:dyDescent="0.3">
      <c r="B164" s="78" t="s">
        <v>377</v>
      </c>
      <c r="C164" s="392" t="s">
        <v>93</v>
      </c>
      <c r="D164" s="393"/>
      <c r="E164" s="393"/>
      <c r="F164" s="393"/>
      <c r="G164" s="394"/>
      <c r="H164" s="46" t="s">
        <v>203</v>
      </c>
      <c r="J164" s="33"/>
      <c r="K164" s="38" t="s">
        <v>329</v>
      </c>
      <c r="L164" s="38" t="s">
        <v>201</v>
      </c>
      <c r="M164" s="41"/>
      <c r="N164" s="41"/>
      <c r="O164" s="265"/>
      <c r="Q164" s="47"/>
      <c r="R164" s="108"/>
      <c r="S164" s="36"/>
      <c r="T164" s="48" t="str">
        <f>IF(ISNUMBER(L163),"Kohdetieto",IF(OR(C164=Pudotusvalikot!$D$14,C164=Pudotusvalikot!$D$15),Kalusto!$I$96,VLOOKUP(C164,Kalusto!$C$44:$L$83,7,FALSE)))</f>
        <v>Puoliperävaunu</v>
      </c>
      <c r="U164" s="48">
        <f>IF(ISNUMBER(L163),"Kohdetieto",IF(OR(C164=Pudotusvalikot!$D$14,C164=Pudotusvalikot!$D$15),Kalusto!$J$96,VLOOKUP(C164,Kalusto!$C$44:$L$83,8,FALSE)))</f>
        <v>40</v>
      </c>
      <c r="V164" s="49">
        <f>IF(ISNUMBER(L163),"Kohdetieto",IF(OR(C164=Pudotusvalikot!$D$14,C164=Pudotusvalikot!$D$15),Kalusto!$K$96,VLOOKUP(C164,Kalusto!$C$44:$L$83,9,FALSE)))</f>
        <v>0.8</v>
      </c>
      <c r="W164" s="49" t="str">
        <f>IF(ISNUMBER(L163),"Kohdetieto",IF(OR(C164=Pudotusvalikot!$D$14,C164=Pudotusvalikot!$D$15),Kalusto!$L$96,VLOOKUP(C164,Kalusto!$C$44:$L$83,10,FALSE)))</f>
        <v>maantieajo</v>
      </c>
      <c r="X164" s="50" t="str">
        <f>IF(ISBLANK(C162),"",C162/1000)</f>
        <v/>
      </c>
      <c r="Y164" s="48" t="str">
        <f>IF(ISNUMBER(G163),G163,"")</f>
        <v/>
      </c>
      <c r="Z164" s="51">
        <f>IF(ISNUMBER(L163),L163,K163)</f>
        <v>4.9950000000000001E-2</v>
      </c>
      <c r="AA164" s="36"/>
      <c r="AB164" s="108"/>
      <c r="AC164" s="36"/>
      <c r="AD164" s="36"/>
      <c r="AE164" s="36"/>
      <c r="AF164" s="36"/>
      <c r="AG164" s="36"/>
      <c r="AH164" s="36"/>
      <c r="AI164" s="36"/>
      <c r="AJ164" s="36"/>
      <c r="AK164" s="36"/>
      <c r="AL164" s="36"/>
      <c r="AM164" s="36"/>
      <c r="AN164" s="37"/>
      <c r="AO164" s="37"/>
      <c r="AP164" s="37"/>
      <c r="AQ164" s="37"/>
      <c r="AR164" s="37"/>
      <c r="AS164" s="37"/>
      <c r="AT164" s="37"/>
      <c r="AU164" s="37"/>
      <c r="AV164" s="37"/>
      <c r="AW164" s="37"/>
      <c r="AX164" s="37"/>
      <c r="AY164" s="37"/>
      <c r="AZ164" s="37"/>
      <c r="BA164" s="37"/>
      <c r="BB164" s="37"/>
      <c r="BC164" s="37"/>
      <c r="BD164" s="37"/>
      <c r="BE164" s="37"/>
    </row>
    <row r="165" spans="2:57" s="31" customFormat="1" ht="15.5" x14ac:dyDescent="0.3">
      <c r="B165" s="78" t="s">
        <v>506</v>
      </c>
      <c r="C165" s="160" t="s">
        <v>242</v>
      </c>
      <c r="D165" s="34"/>
      <c r="E165" s="34"/>
      <c r="F165" s="34"/>
      <c r="G165" s="34"/>
      <c r="H165" s="59"/>
      <c r="J165" s="173"/>
      <c r="K165" s="173"/>
      <c r="L165" s="173"/>
      <c r="M165" s="41"/>
      <c r="N165" s="41"/>
      <c r="O165" s="265"/>
      <c r="Q165" s="47"/>
      <c r="R165" s="36"/>
      <c r="S165" s="36"/>
      <c r="T165" s="36"/>
      <c r="U165" s="36"/>
      <c r="V165" s="181"/>
      <c r="W165" s="181"/>
      <c r="X165" s="61"/>
      <c r="Y165" s="36"/>
      <c r="Z165" s="61"/>
      <c r="AA165" s="182"/>
      <c r="AB165" s="61"/>
      <c r="AC165" s="61"/>
      <c r="AD165" s="61"/>
      <c r="AE165" s="61"/>
      <c r="AF165" s="182"/>
      <c r="AG165" s="61"/>
      <c r="AH165" s="36"/>
      <c r="AI165" s="36"/>
      <c r="AJ165" s="36"/>
      <c r="AK165" s="108"/>
      <c r="AL165" s="36"/>
      <c r="AM165" s="36"/>
      <c r="AN165" s="37"/>
      <c r="AO165" s="37"/>
      <c r="AP165" s="37"/>
      <c r="AQ165" s="37"/>
      <c r="AR165" s="37"/>
      <c r="AS165" s="37"/>
      <c r="AT165" s="37"/>
      <c r="AU165" s="37"/>
      <c r="AV165" s="37"/>
      <c r="AW165" s="37"/>
      <c r="AX165" s="37"/>
      <c r="AY165" s="37"/>
      <c r="AZ165" s="37"/>
      <c r="BA165" s="37"/>
      <c r="BB165" s="37"/>
      <c r="BC165" s="37"/>
      <c r="BD165" s="37"/>
      <c r="BE165" s="37"/>
    </row>
    <row r="166" spans="2:57" s="31" customFormat="1" ht="15.5" x14ac:dyDescent="0.3">
      <c r="B166" s="155" t="s">
        <v>542</v>
      </c>
      <c r="C166" s="395" t="s">
        <v>283</v>
      </c>
      <c r="D166" s="395"/>
      <c r="G166" s="156"/>
      <c r="H166" s="84" t="s">
        <v>5</v>
      </c>
      <c r="J166" s="33" t="str">
        <f>IF(C166="Kuljetus","Ei oletusta","Oletus (" &amp; IF(C166="Tiekuljetus",Kalusto!$C$105,IF(C166="Raidekuljetus",Kalusto!$C$106,IF(C166="Laivarahti",Kalusto!$C$107,Kalusto!$C$108))) &amp; ")" )</f>
        <v>Oletus (Puoliperävaunuyhdistelmä, 40 t, 100 % kuorma, maantieajo)</v>
      </c>
      <c r="K166" s="96">
        <f>IF(ISNUMBER(L166),L166,IF(C166=Pudotusvalikot!$N$4,Kalusto!$G$105,IF(C166=Pudotusvalikot!$N$5,Kalusto!$G$106,IF(C166=Pudotusvalikot!$N$6,Kalusto!$G$107,IF(C166=Pudotusvalikot!$N$7,Kalusto!$G$108,Kalusto!$G$105)))))</f>
        <v>4.9950000000000001E-2</v>
      </c>
      <c r="L166" s="40"/>
      <c r="M166" s="41" t="s">
        <v>200</v>
      </c>
      <c r="N166" s="41"/>
      <c r="O166" s="265"/>
      <c r="Q166" s="35"/>
      <c r="R166" s="50" t="str">
        <f>IF(AND(ISNUMBER(G163)*ISNUMBER(C162)),K166*G166*C162,"")</f>
        <v/>
      </c>
      <c r="S166" s="102" t="s">
        <v>172</v>
      </c>
      <c r="T166" s="36"/>
      <c r="U166" s="36"/>
      <c r="V166" s="36"/>
      <c r="W166" s="36"/>
      <c r="X166" s="36"/>
      <c r="Y166" s="36"/>
      <c r="Z166" s="36"/>
      <c r="AA166" s="36"/>
      <c r="AB166" s="108"/>
      <c r="AC166" s="36"/>
      <c r="AD166" s="36"/>
      <c r="AE166" s="36"/>
      <c r="AF166" s="36"/>
      <c r="AG166" s="36"/>
      <c r="AH166" s="36"/>
      <c r="AI166" s="36"/>
      <c r="AJ166" s="36"/>
      <c r="AK166" s="36"/>
      <c r="AL166" s="36"/>
      <c r="AM166" s="36"/>
      <c r="AN166" s="37"/>
      <c r="AO166" s="37"/>
      <c r="AP166" s="37"/>
      <c r="AQ166" s="37"/>
      <c r="AR166" s="37"/>
      <c r="AS166" s="37"/>
      <c r="AT166" s="37"/>
      <c r="AU166" s="37"/>
      <c r="AV166" s="37"/>
      <c r="AW166" s="37"/>
      <c r="AX166" s="37"/>
      <c r="AY166" s="37"/>
      <c r="AZ166" s="37"/>
      <c r="BA166" s="37"/>
      <c r="BB166" s="37"/>
      <c r="BC166" s="37"/>
      <c r="BD166" s="37"/>
      <c r="BE166" s="37"/>
    </row>
    <row r="167" spans="2:57" s="31" customFormat="1" ht="15.5" x14ac:dyDescent="0.3">
      <c r="B167" s="155" t="s">
        <v>542</v>
      </c>
      <c r="C167" s="395" t="s">
        <v>284</v>
      </c>
      <c r="D167" s="395"/>
      <c r="G167" s="156"/>
      <c r="H167" s="84" t="s">
        <v>5</v>
      </c>
      <c r="J167" s="33" t="str">
        <f>IF(C167="Kuljetus","Ei oletusta","Oletus (" &amp; IF(C167="Tiekuljetus",Kalusto!$C$105,IF(C167="Raidekuljetus",Kalusto!$C$106,IF(C167="Laivarahti",Kalusto!$C$107,Kalusto!$C$108))) &amp; ")" )</f>
        <v>Oletus (Merikuljetus, konttilaiva, 1000 TEU)</v>
      </c>
      <c r="K167" s="96">
        <f>IF(ISNUMBER(L167),L167,IF(C167=Pudotusvalikot!$N$4,Kalusto!$G$105,IF(C167=Pudotusvalikot!$N$5,Kalusto!$G$106,IF(C167=Pudotusvalikot!$N$6,Kalusto!$G$107,IF(C167=Pudotusvalikot!$N$7,Kalusto!$G$108,"--")))))</f>
        <v>4.4999999999999998E-2</v>
      </c>
      <c r="L167" s="40"/>
      <c r="M167" s="41" t="s">
        <v>200</v>
      </c>
      <c r="N167" s="41"/>
      <c r="O167" s="265"/>
      <c r="Q167" s="35"/>
      <c r="R167" s="50" t="str">
        <f>IF(AND(ISNUMBER(G163)*ISNUMBER(C162)),K167*G167*C162,"")</f>
        <v/>
      </c>
      <c r="S167" s="102" t="s">
        <v>172</v>
      </c>
      <c r="T167" s="36"/>
      <c r="U167" s="36"/>
      <c r="V167" s="36"/>
      <c r="W167" s="36"/>
      <c r="X167" s="36"/>
      <c r="Y167" s="36"/>
      <c r="Z167" s="36"/>
      <c r="AA167" s="36"/>
      <c r="AB167" s="108"/>
      <c r="AC167" s="36"/>
      <c r="AD167" s="36"/>
      <c r="AE167" s="36"/>
      <c r="AF167" s="36"/>
      <c r="AG167" s="36"/>
      <c r="AH167" s="36"/>
      <c r="AI167" s="36"/>
      <c r="AJ167" s="36"/>
      <c r="AK167" s="36"/>
      <c r="AL167" s="36"/>
      <c r="AM167" s="36"/>
      <c r="AN167" s="37"/>
      <c r="AO167" s="37"/>
      <c r="AP167" s="37"/>
      <c r="AQ167" s="37"/>
      <c r="AR167" s="37"/>
      <c r="AS167" s="37"/>
      <c r="AT167" s="37"/>
      <c r="AU167" s="37"/>
      <c r="AV167" s="37"/>
      <c r="AW167" s="37"/>
      <c r="AX167" s="37"/>
      <c r="AY167" s="37"/>
      <c r="AZ167" s="37"/>
      <c r="BA167" s="37"/>
      <c r="BB167" s="37"/>
      <c r="BC167" s="37"/>
      <c r="BD167" s="37"/>
      <c r="BE167" s="37"/>
    </row>
    <row r="168" spans="2:57" s="31" customFormat="1" ht="15.5" x14ac:dyDescent="0.3">
      <c r="B168" s="155" t="s">
        <v>542</v>
      </c>
      <c r="C168" s="395" t="s">
        <v>283</v>
      </c>
      <c r="D168" s="395"/>
      <c r="G168" s="156"/>
      <c r="H168" s="84" t="s">
        <v>5</v>
      </c>
      <c r="J168" s="33" t="str">
        <f>IF(C168="Kuljetus","Ei oletusta","Oletus (" &amp; IF(C168="Tiekuljetus",Kalusto!$C$105,IF(C168="Raidekuljetus",Kalusto!$C$106,IF(C168="Laivarahti",Kalusto!$C$107,Kalusto!$C$108))) &amp; ")" )</f>
        <v>Oletus (Puoliperävaunuyhdistelmä, 40 t, 100 % kuorma, maantieajo)</v>
      </c>
      <c r="K168" s="96">
        <f>IF(ISNUMBER(L168),L168,IF(C168=Pudotusvalikot!$N$4,Kalusto!$G$105,IF(C168=Pudotusvalikot!$N$5,Kalusto!$G$106,IF(C168=Pudotusvalikot!$N$6,Kalusto!$G$107,IF(C168=Pudotusvalikot!$N$7,Kalusto!$G$108,"--")))))</f>
        <v>4.9950000000000001E-2</v>
      </c>
      <c r="L168" s="40"/>
      <c r="M168" s="41" t="s">
        <v>200</v>
      </c>
      <c r="N168" s="41"/>
      <c r="O168" s="265"/>
      <c r="Q168" s="35"/>
      <c r="R168" s="50" t="str">
        <f>IF(AND(ISNUMBER(G163)*ISNUMBER(C162)),K168*G168*C162,"")</f>
        <v/>
      </c>
      <c r="S168" s="102" t="s">
        <v>172</v>
      </c>
      <c r="T168" s="36"/>
      <c r="U168" s="36"/>
      <c r="V168" s="36"/>
      <c r="W168" s="36"/>
      <c r="X168" s="36"/>
      <c r="Y168" s="36"/>
      <c r="Z168" s="36"/>
      <c r="AA168" s="36"/>
      <c r="AB168" s="108"/>
      <c r="AC168" s="36"/>
      <c r="AD168" s="36"/>
      <c r="AE168" s="36"/>
      <c r="AF168" s="36"/>
      <c r="AG168" s="36"/>
      <c r="AH168" s="36"/>
      <c r="AI168" s="36"/>
      <c r="AJ168" s="36"/>
      <c r="AK168" s="36"/>
      <c r="AL168" s="36"/>
      <c r="AM168" s="36"/>
      <c r="AN168" s="37"/>
      <c r="AO168" s="37"/>
      <c r="AP168" s="37"/>
      <c r="AQ168" s="37"/>
      <c r="AR168" s="37"/>
      <c r="AS168" s="37"/>
      <c r="AT168" s="37"/>
      <c r="AU168" s="37"/>
      <c r="AV168" s="37"/>
      <c r="AW168" s="37"/>
      <c r="AX168" s="37"/>
      <c r="AY168" s="37"/>
      <c r="AZ168" s="37"/>
      <c r="BA168" s="37"/>
      <c r="BB168" s="37"/>
      <c r="BC168" s="37"/>
      <c r="BD168" s="37"/>
      <c r="BE168" s="37"/>
    </row>
    <row r="169" spans="2:57" s="31" customFormat="1" ht="15.5" x14ac:dyDescent="0.3">
      <c r="B169" s="9" t="str">
        <f>B133</f>
        <v>Kasvi-, kemikaali-, tuote- tai materiaalilaji 4</v>
      </c>
      <c r="C169" s="34"/>
      <c r="D169" s="84"/>
      <c r="G169" s="72"/>
      <c r="H169" s="84"/>
      <c r="J169" s="33"/>
      <c r="K169" s="34"/>
      <c r="L169" s="34"/>
      <c r="M169" s="84"/>
      <c r="N169" s="84"/>
      <c r="O169" s="100"/>
      <c r="Q169" s="35"/>
      <c r="R169" s="36" t="s">
        <v>350</v>
      </c>
      <c r="S169" s="36"/>
      <c r="T169" s="36"/>
      <c r="U169" s="36"/>
      <c r="V169" s="36"/>
      <c r="W169" s="36"/>
      <c r="X169" s="36"/>
      <c r="Y169" s="36"/>
      <c r="Z169" s="36"/>
      <c r="AA169" s="36"/>
      <c r="AB169" s="108"/>
      <c r="AC169" s="36"/>
      <c r="AD169" s="36"/>
      <c r="AE169" s="36"/>
      <c r="AF169" s="36"/>
      <c r="AG169" s="36"/>
      <c r="AH169" s="36"/>
      <c r="AI169" s="36"/>
      <c r="AJ169" s="36"/>
      <c r="AK169" s="36"/>
      <c r="AL169" s="36"/>
      <c r="AM169" s="36"/>
      <c r="AN169" s="37"/>
      <c r="AO169" s="37"/>
      <c r="AP169" s="37"/>
      <c r="AQ169" s="37"/>
      <c r="AR169" s="37"/>
      <c r="AS169" s="37"/>
      <c r="AT169" s="37"/>
      <c r="AU169" s="37"/>
      <c r="AV169" s="37"/>
      <c r="AW169" s="37"/>
      <c r="AX169" s="37"/>
      <c r="AY169" s="37"/>
      <c r="AZ169" s="37"/>
      <c r="BA169" s="37"/>
      <c r="BB169" s="37"/>
      <c r="BC169" s="37"/>
      <c r="BD169" s="37"/>
      <c r="BE169" s="37"/>
    </row>
    <row r="170" spans="2:57" s="31" customFormat="1" ht="15.5" x14ac:dyDescent="0.3">
      <c r="B170" s="54" t="s">
        <v>375</v>
      </c>
      <c r="C170" s="160"/>
      <c r="D170" s="84" t="s">
        <v>281</v>
      </c>
      <c r="G170" s="34"/>
      <c r="H170" s="84"/>
      <c r="J170" s="33"/>
      <c r="K170" s="38" t="s">
        <v>329</v>
      </c>
      <c r="L170" s="38" t="s">
        <v>201</v>
      </c>
      <c r="M170" s="84"/>
      <c r="N170" s="84"/>
      <c r="O170" s="100"/>
      <c r="Q170" s="35"/>
      <c r="R170" s="50" t="str">
        <f>IF(AND(ISNUMBER(G171),ISNUMBER(C170)),SUM(R171,R174:R176),"")</f>
        <v/>
      </c>
      <c r="S170" s="102" t="s">
        <v>172</v>
      </c>
      <c r="T170" s="36"/>
      <c r="U170" s="36"/>
      <c r="V170" s="36"/>
      <c r="W170" s="36"/>
      <c r="X170" s="36"/>
      <c r="Y170" s="36"/>
      <c r="Z170" s="36"/>
      <c r="AA170" s="36"/>
      <c r="AB170" s="108"/>
      <c r="AC170" s="36"/>
      <c r="AD170" s="36"/>
      <c r="AE170" s="36"/>
      <c r="AF170" s="36"/>
      <c r="AG170" s="36"/>
      <c r="AH170" s="36"/>
      <c r="AI170" s="36"/>
      <c r="AJ170" s="36"/>
      <c r="AK170" s="36"/>
      <c r="AL170" s="36"/>
      <c r="AM170" s="36"/>
      <c r="AN170" s="37"/>
      <c r="AO170" s="37"/>
      <c r="AP170" s="37"/>
      <c r="AQ170" s="37"/>
      <c r="AR170" s="37"/>
      <c r="AS170" s="37"/>
      <c r="AT170" s="37"/>
      <c r="AU170" s="37"/>
      <c r="AV170" s="37"/>
      <c r="AW170" s="37"/>
      <c r="AX170" s="37"/>
      <c r="AY170" s="37"/>
      <c r="AZ170" s="37"/>
      <c r="BA170" s="37"/>
      <c r="BB170" s="37"/>
      <c r="BC170" s="37"/>
      <c r="BD170" s="37"/>
      <c r="BE170" s="37"/>
    </row>
    <row r="171" spans="2:57" s="31" customFormat="1" ht="46.5" x14ac:dyDescent="0.3">
      <c r="B171" s="155" t="s">
        <v>728</v>
      </c>
      <c r="C171" s="396" t="s">
        <v>283</v>
      </c>
      <c r="D171" s="397"/>
      <c r="G171" s="156"/>
      <c r="H171" s="84" t="s">
        <v>5</v>
      </c>
      <c r="J171" s="173" t="s">
        <v>441</v>
      </c>
      <c r="K171" s="96">
        <f>IF(ISNUMBER(L171),L171,IF(C171=Pudotusvalikot!$N$4,Kalusto!$G$105,IF(C171=Pudotusvalikot!$N$5,Kalusto!$G$106,IF(C171=Pudotusvalikot!$N$6,Kalusto!$G$107,IF(C171=Pudotusvalikot!$N$7,Kalusto!$G$108,Kalusto!$G$105))))*IF(OR(C173=Pudotusvalikot!$V$3,C173=Pudotusvalikot!$V$4),Muut!$E$38,IF(C173=Pudotusvalikot!$V$5,Muut!$E$39,IF(C173=Pudotusvalikot!$V$6,Muut!$E$40,Muut!$E$41))))</f>
        <v>4.9950000000000001E-2</v>
      </c>
      <c r="L171" s="40"/>
      <c r="M171" s="41" t="s">
        <v>200</v>
      </c>
      <c r="N171" s="41"/>
      <c r="O171" s="265"/>
      <c r="Q171" s="35"/>
      <c r="R171" s="50" t="str">
        <f>IF(ISNUMBER(Y172*X172*K171),Y172*X172*K171,"")</f>
        <v/>
      </c>
      <c r="S171" s="102" t="s">
        <v>172</v>
      </c>
      <c r="T171" s="36" t="s">
        <v>446</v>
      </c>
      <c r="U171" s="36" t="s">
        <v>384</v>
      </c>
      <c r="V171" s="36" t="s">
        <v>443</v>
      </c>
      <c r="W171" s="36" t="s">
        <v>444</v>
      </c>
      <c r="X171" s="36" t="s">
        <v>447</v>
      </c>
      <c r="Y171" s="36" t="s">
        <v>449</v>
      </c>
      <c r="Z171" s="36" t="s">
        <v>374</v>
      </c>
      <c r="AA171" s="36"/>
      <c r="AB171" s="108"/>
      <c r="AC171" s="36"/>
      <c r="AD171" s="36"/>
      <c r="AE171" s="36"/>
      <c r="AF171" s="36"/>
      <c r="AG171" s="36"/>
      <c r="AH171" s="36"/>
      <c r="AI171" s="36"/>
      <c r="AJ171" s="36"/>
      <c r="AK171" s="36"/>
      <c r="AL171" s="36"/>
      <c r="AM171" s="36"/>
      <c r="AN171" s="37"/>
      <c r="AO171" s="37"/>
      <c r="AP171" s="37"/>
      <c r="AQ171" s="37"/>
      <c r="AR171" s="37"/>
      <c r="AS171" s="37"/>
      <c r="AT171" s="37"/>
      <c r="AU171" s="37"/>
      <c r="AV171" s="37"/>
      <c r="AW171" s="37"/>
      <c r="AX171" s="37"/>
      <c r="AY171" s="37"/>
      <c r="AZ171" s="37"/>
      <c r="BA171" s="37"/>
      <c r="BB171" s="37"/>
      <c r="BC171" s="37"/>
      <c r="BD171" s="37"/>
      <c r="BE171" s="37"/>
    </row>
    <row r="172" spans="2:57" s="31" customFormat="1" ht="15.5" x14ac:dyDescent="0.3">
      <c r="B172" s="78" t="s">
        <v>377</v>
      </c>
      <c r="C172" s="392" t="s">
        <v>93</v>
      </c>
      <c r="D172" s="393"/>
      <c r="E172" s="393"/>
      <c r="F172" s="393"/>
      <c r="G172" s="394"/>
      <c r="J172" s="33"/>
      <c r="K172" s="38" t="s">
        <v>329</v>
      </c>
      <c r="L172" s="38" t="s">
        <v>201</v>
      </c>
      <c r="M172" s="41"/>
      <c r="N172" s="41"/>
      <c r="O172" s="265"/>
      <c r="Q172" s="47"/>
      <c r="R172" s="108"/>
      <c r="S172" s="36"/>
      <c r="T172" s="48" t="str">
        <f>IF(ISNUMBER(L171),"Kohdetieto",IF(OR(C172=Pudotusvalikot!$D$14,C172=Pudotusvalikot!$D$15),Kalusto!$I$96,VLOOKUP(C172,Kalusto!$C$44:$L$83,7,FALSE)))</f>
        <v>Puoliperävaunu</v>
      </c>
      <c r="U172" s="48">
        <f>IF(ISNUMBER(L171),"Kohdetieto",IF(OR(C172=Pudotusvalikot!$D$14,C172=Pudotusvalikot!$D$15),Kalusto!$J$96,VLOOKUP(C172,Kalusto!$C$44:$L$83,8,FALSE)))</f>
        <v>40</v>
      </c>
      <c r="V172" s="49">
        <f>IF(ISNUMBER(L171),"Kohdetieto",IF(OR(C172=Pudotusvalikot!$D$14,C172=Pudotusvalikot!$D$15),Kalusto!$K$96,VLOOKUP(C172,Kalusto!$C$44:$L$83,9,FALSE)))</f>
        <v>0.8</v>
      </c>
      <c r="W172" s="49" t="str">
        <f>IF(ISNUMBER(L171),"Kohdetieto",IF(OR(C172=Pudotusvalikot!$D$14,C172=Pudotusvalikot!$D$15),Kalusto!$L$96,VLOOKUP(C172,Kalusto!$C$44:$L$83,10,FALSE)))</f>
        <v>maantieajo</v>
      </c>
      <c r="X172" s="50" t="str">
        <f>IF(ISBLANK(C170),"",C170/1000)</f>
        <v/>
      </c>
      <c r="Y172" s="48" t="str">
        <f>IF(ISNUMBER(G171),G171,"")</f>
        <v/>
      </c>
      <c r="Z172" s="51">
        <f>IF(ISNUMBER(L171),L171,K171)</f>
        <v>4.9950000000000001E-2</v>
      </c>
      <c r="AA172" s="36"/>
      <c r="AB172" s="108"/>
      <c r="AC172" s="36"/>
      <c r="AD172" s="36"/>
      <c r="AE172" s="36"/>
      <c r="AF172" s="36"/>
      <c r="AG172" s="36"/>
      <c r="AH172" s="36"/>
      <c r="AI172" s="36"/>
      <c r="AJ172" s="36"/>
      <c r="AK172" s="36"/>
      <c r="AL172" s="36"/>
      <c r="AM172" s="36"/>
      <c r="AN172" s="37"/>
      <c r="AO172" s="37"/>
      <c r="AP172" s="37"/>
      <c r="AQ172" s="37"/>
      <c r="AR172" s="37"/>
      <c r="AS172" s="37"/>
      <c r="AT172" s="37"/>
      <c r="AU172" s="37"/>
      <c r="AV172" s="37"/>
      <c r="AW172" s="37"/>
      <c r="AX172" s="37"/>
      <c r="AY172" s="37"/>
      <c r="AZ172" s="37"/>
      <c r="BA172" s="37"/>
      <c r="BB172" s="37"/>
      <c r="BC172" s="37"/>
      <c r="BD172" s="37"/>
      <c r="BE172" s="37"/>
    </row>
    <row r="173" spans="2:57" s="31" customFormat="1" ht="15.5" x14ac:dyDescent="0.3">
      <c r="B173" s="78" t="s">
        <v>506</v>
      </c>
      <c r="C173" s="160" t="s">
        <v>242</v>
      </c>
      <c r="D173" s="34"/>
      <c r="E173" s="34"/>
      <c r="F173" s="34"/>
      <c r="G173" s="34"/>
      <c r="H173" s="59"/>
      <c r="J173" s="173"/>
      <c r="K173" s="173"/>
      <c r="L173" s="173"/>
      <c r="M173" s="41"/>
      <c r="N173" s="41"/>
      <c r="O173" s="265"/>
      <c r="Q173" s="47"/>
      <c r="R173" s="36"/>
      <c r="S173" s="36"/>
      <c r="T173" s="36"/>
      <c r="U173" s="36"/>
      <c r="V173" s="181"/>
      <c r="W173" s="181"/>
      <c r="X173" s="61"/>
      <c r="Y173" s="36"/>
      <c r="Z173" s="61"/>
      <c r="AA173" s="182"/>
      <c r="AB173" s="61"/>
      <c r="AC173" s="61"/>
      <c r="AD173" s="61"/>
      <c r="AE173" s="61"/>
      <c r="AF173" s="182"/>
      <c r="AG173" s="61"/>
      <c r="AH173" s="36"/>
      <c r="AI173" s="36"/>
      <c r="AJ173" s="36"/>
      <c r="AK173" s="108"/>
      <c r="AL173" s="36"/>
      <c r="AM173" s="36"/>
      <c r="AN173" s="37"/>
      <c r="AO173" s="37"/>
      <c r="AP173" s="37"/>
      <c r="AQ173" s="37"/>
      <c r="AR173" s="37"/>
      <c r="AS173" s="37"/>
      <c r="AT173" s="37"/>
      <c r="AU173" s="37"/>
      <c r="AV173" s="37"/>
      <c r="AW173" s="37"/>
      <c r="AX173" s="37"/>
      <c r="AY173" s="37"/>
      <c r="AZ173" s="37"/>
      <c r="BA173" s="37"/>
      <c r="BB173" s="37"/>
      <c r="BC173" s="37"/>
      <c r="BD173" s="37"/>
      <c r="BE173" s="37"/>
    </row>
    <row r="174" spans="2:57" s="31" customFormat="1" ht="15.5" x14ac:dyDescent="0.3">
      <c r="B174" s="155" t="s">
        <v>543</v>
      </c>
      <c r="C174" s="395" t="s">
        <v>283</v>
      </c>
      <c r="D174" s="395"/>
      <c r="G174" s="156"/>
      <c r="H174" s="84" t="s">
        <v>5</v>
      </c>
      <c r="J174" s="33" t="str">
        <f>IF(C174="Kuljetus","Ei oletusta","Oletus (" &amp; IF(C174="Tiekuljetus",Kalusto!$C$105,IF(C174="Raidekuljetus",Kalusto!$C$106,IF(C174="Laivarahti",Kalusto!$C$107,Kalusto!$C$108))) &amp; ")" )</f>
        <v>Oletus (Puoliperävaunuyhdistelmä, 40 t, 100 % kuorma, maantieajo)</v>
      </c>
      <c r="K174" s="96">
        <f>IF(ISNUMBER(L174),L174,IF(C174=Pudotusvalikot!$N$4,Kalusto!$G$105,IF(C174=Pudotusvalikot!$N$5,Kalusto!$G$106,IF(C174=Pudotusvalikot!$N$6,Kalusto!$G$107,IF(C174=Pudotusvalikot!$N$7,Kalusto!$G$108,Kalusto!$G$105)))))</f>
        <v>4.9950000000000001E-2</v>
      </c>
      <c r="L174" s="40"/>
      <c r="M174" s="41" t="s">
        <v>200</v>
      </c>
      <c r="N174" s="41"/>
      <c r="O174" s="265"/>
      <c r="Q174" s="35"/>
      <c r="R174" s="50" t="str">
        <f>IF(AND(ISNUMBER(G171)*ISNUMBER(C170)),K174*G174*C170,"")</f>
        <v/>
      </c>
      <c r="S174" s="102" t="s">
        <v>172</v>
      </c>
      <c r="T174" s="36"/>
      <c r="U174" s="36"/>
      <c r="V174" s="36"/>
      <c r="W174" s="36"/>
      <c r="X174" s="36"/>
      <c r="Y174" s="36"/>
      <c r="Z174" s="36"/>
      <c r="AA174" s="36"/>
      <c r="AB174" s="108"/>
      <c r="AC174" s="36"/>
      <c r="AD174" s="36"/>
      <c r="AE174" s="36"/>
      <c r="AF174" s="36"/>
      <c r="AG174" s="36"/>
      <c r="AH174" s="36"/>
      <c r="AI174" s="36"/>
      <c r="AJ174" s="36"/>
      <c r="AK174" s="36"/>
      <c r="AL174" s="36"/>
      <c r="AM174" s="36"/>
      <c r="AN174" s="37"/>
      <c r="AO174" s="37"/>
      <c r="AP174" s="37"/>
      <c r="AQ174" s="37"/>
      <c r="AR174" s="37"/>
      <c r="AS174" s="37"/>
      <c r="AT174" s="37"/>
      <c r="AU174" s="37"/>
      <c r="AV174" s="37"/>
      <c r="AW174" s="37"/>
      <c r="AX174" s="37"/>
      <c r="AY174" s="37"/>
      <c r="AZ174" s="37"/>
      <c r="BA174" s="37"/>
      <c r="BB174" s="37"/>
      <c r="BC174" s="37"/>
      <c r="BD174" s="37"/>
      <c r="BE174" s="37"/>
    </row>
    <row r="175" spans="2:57" s="31" customFormat="1" ht="15.5" x14ac:dyDescent="0.3">
      <c r="B175" s="155" t="s">
        <v>543</v>
      </c>
      <c r="C175" s="395" t="s">
        <v>284</v>
      </c>
      <c r="D175" s="395"/>
      <c r="G175" s="156"/>
      <c r="H175" s="84" t="s">
        <v>5</v>
      </c>
      <c r="J175" s="33" t="str">
        <f>IF(C175="Kuljetus","Ei oletusta","Oletus (" &amp; IF(C175="Tiekuljetus",Kalusto!$C$105,IF(C175="Raidekuljetus",Kalusto!$C$106,IF(C175="Laivarahti",Kalusto!$C$107,Kalusto!$C$108))) &amp; ")" )</f>
        <v>Oletus (Merikuljetus, konttilaiva, 1000 TEU)</v>
      </c>
      <c r="K175" s="96">
        <f>IF(ISNUMBER(L175),L175,IF(C175=Pudotusvalikot!$N$4,Kalusto!$G$105,IF(C175=Pudotusvalikot!$N$5,Kalusto!$G$106,IF(C175=Pudotusvalikot!$N$6,Kalusto!$G$107,IF(C175=Pudotusvalikot!$N$7,Kalusto!$G$108,"--")))))</f>
        <v>4.4999999999999998E-2</v>
      </c>
      <c r="L175" s="40"/>
      <c r="M175" s="41" t="s">
        <v>200</v>
      </c>
      <c r="N175" s="41"/>
      <c r="O175" s="265"/>
      <c r="Q175" s="35"/>
      <c r="R175" s="50" t="str">
        <f>IF(AND(ISNUMBER(G171)*ISNUMBER(C170)),K175*G175*C170,"")</f>
        <v/>
      </c>
      <c r="S175" s="102" t="s">
        <v>172</v>
      </c>
      <c r="T175" s="36"/>
      <c r="U175" s="36"/>
      <c r="V175" s="36"/>
      <c r="W175" s="36"/>
      <c r="X175" s="36"/>
      <c r="Y175" s="36"/>
      <c r="Z175" s="36"/>
      <c r="AA175" s="36"/>
      <c r="AB175" s="108"/>
      <c r="AC175" s="36"/>
      <c r="AD175" s="36"/>
      <c r="AE175" s="36"/>
      <c r="AF175" s="36"/>
      <c r="AG175" s="36"/>
      <c r="AH175" s="36"/>
      <c r="AI175" s="36"/>
      <c r="AJ175" s="36"/>
      <c r="AK175" s="36"/>
      <c r="AL175" s="36"/>
      <c r="AM175" s="36"/>
      <c r="AN175" s="37"/>
      <c r="AO175" s="37"/>
      <c r="AP175" s="37"/>
      <c r="AQ175" s="37"/>
      <c r="AR175" s="37"/>
      <c r="AS175" s="37"/>
      <c r="AT175" s="37"/>
      <c r="AU175" s="37"/>
      <c r="AV175" s="37"/>
      <c r="AW175" s="37"/>
      <c r="AX175" s="37"/>
      <c r="AY175" s="37"/>
      <c r="AZ175" s="37"/>
      <c r="BA175" s="37"/>
      <c r="BB175" s="37"/>
      <c r="BC175" s="37"/>
      <c r="BD175" s="37"/>
      <c r="BE175" s="37"/>
    </row>
    <row r="176" spans="2:57" s="31" customFormat="1" ht="15.5" x14ac:dyDescent="0.3">
      <c r="B176" s="155" t="s">
        <v>543</v>
      </c>
      <c r="C176" s="395" t="s">
        <v>283</v>
      </c>
      <c r="D176" s="395"/>
      <c r="G176" s="156"/>
      <c r="H176" s="84" t="s">
        <v>5</v>
      </c>
      <c r="J176" s="33" t="str">
        <f>IF(C176="Kuljetus","Ei oletusta","Oletus (" &amp; IF(C176="Tiekuljetus",Kalusto!$C$105,IF(C176="Raidekuljetus",Kalusto!$C$106,IF(C176="Laivarahti",Kalusto!$C$107,Kalusto!$C$108))) &amp; ")" )</f>
        <v>Oletus (Puoliperävaunuyhdistelmä, 40 t, 100 % kuorma, maantieajo)</v>
      </c>
      <c r="K176" s="96">
        <f>IF(ISNUMBER(L176),L176,IF(C176=Pudotusvalikot!$N$4,Kalusto!$G$105,IF(C176=Pudotusvalikot!$N$5,Kalusto!$G$106,IF(C176=Pudotusvalikot!$N$6,Kalusto!$G$107,IF(C176=Pudotusvalikot!$N$7,Kalusto!$G$108,"--")))))</f>
        <v>4.9950000000000001E-2</v>
      </c>
      <c r="L176" s="40"/>
      <c r="M176" s="41" t="s">
        <v>200</v>
      </c>
      <c r="N176" s="41"/>
      <c r="O176" s="265"/>
      <c r="Q176" s="35"/>
      <c r="R176" s="50" t="str">
        <f>IF(AND(ISNUMBER(G171)*ISNUMBER(C170)),K176*G176*C170,"")</f>
        <v/>
      </c>
      <c r="S176" s="102" t="s">
        <v>172</v>
      </c>
      <c r="T176" s="36"/>
      <c r="U176" s="36"/>
      <c r="V176" s="36"/>
      <c r="W176" s="36"/>
      <c r="X176" s="36"/>
      <c r="Y176" s="36"/>
      <c r="Z176" s="36"/>
      <c r="AA176" s="36"/>
      <c r="AB176" s="108"/>
      <c r="AC176" s="36"/>
      <c r="AD176" s="36"/>
      <c r="AE176" s="36"/>
      <c r="AF176" s="36"/>
      <c r="AG176" s="36"/>
      <c r="AH176" s="36"/>
      <c r="AI176" s="36"/>
      <c r="AJ176" s="36"/>
      <c r="AK176" s="36"/>
      <c r="AL176" s="36"/>
      <c r="AM176" s="36"/>
      <c r="AN176" s="37"/>
      <c r="AO176" s="37"/>
      <c r="AP176" s="37"/>
      <c r="AQ176" s="37"/>
      <c r="AR176" s="37"/>
      <c r="AS176" s="37"/>
      <c r="AT176" s="37"/>
      <c r="AU176" s="37"/>
      <c r="AV176" s="37"/>
      <c r="AW176" s="37"/>
      <c r="AX176" s="37"/>
      <c r="AY176" s="37"/>
      <c r="AZ176" s="37"/>
      <c r="BA176" s="37"/>
      <c r="BB176" s="37"/>
      <c r="BC176" s="37"/>
      <c r="BD176" s="37"/>
      <c r="BE176" s="37"/>
    </row>
    <row r="177" spans="2:59" s="31" customFormat="1" ht="15.5" x14ac:dyDescent="0.3">
      <c r="B177" s="9" t="str">
        <f>B136</f>
        <v>Kasvi-, kemikaali-, tuote- tai materiaalilaji 5</v>
      </c>
      <c r="C177" s="34"/>
      <c r="D177" s="84"/>
      <c r="G177" s="72"/>
      <c r="H177" s="84"/>
      <c r="J177" s="33"/>
      <c r="K177" s="34"/>
      <c r="L177" s="34"/>
      <c r="M177" s="84"/>
      <c r="N177" s="84"/>
      <c r="O177" s="100"/>
      <c r="Q177" s="35"/>
      <c r="R177" s="36" t="s">
        <v>350</v>
      </c>
      <c r="S177" s="36"/>
      <c r="T177" s="36"/>
      <c r="U177" s="36"/>
      <c r="V177" s="36"/>
      <c r="W177" s="36"/>
      <c r="X177" s="36"/>
      <c r="Y177" s="36"/>
      <c r="Z177" s="36"/>
      <c r="AA177" s="36"/>
      <c r="AB177" s="108"/>
      <c r="AC177" s="36"/>
      <c r="AD177" s="36"/>
      <c r="AE177" s="36"/>
      <c r="AF177" s="36"/>
      <c r="AG177" s="36"/>
      <c r="AH177" s="36"/>
      <c r="AI177" s="36"/>
      <c r="AJ177" s="36"/>
      <c r="AK177" s="36"/>
      <c r="AL177" s="36"/>
      <c r="AM177" s="36"/>
      <c r="AN177" s="37"/>
      <c r="AO177" s="37"/>
      <c r="AP177" s="37"/>
      <c r="AQ177" s="37"/>
      <c r="AR177" s="37"/>
      <c r="AS177" s="37"/>
      <c r="AT177" s="37"/>
      <c r="AU177" s="37"/>
      <c r="AV177" s="37"/>
      <c r="AW177" s="37"/>
      <c r="AX177" s="37"/>
      <c r="AY177" s="37"/>
      <c r="AZ177" s="37"/>
      <c r="BA177" s="37"/>
      <c r="BB177" s="37"/>
      <c r="BC177" s="37"/>
      <c r="BD177" s="37"/>
      <c r="BE177" s="37"/>
    </row>
    <row r="178" spans="2:59" s="31" customFormat="1" ht="15.5" x14ac:dyDescent="0.3">
      <c r="B178" s="54" t="s">
        <v>286</v>
      </c>
      <c r="C178" s="160"/>
      <c r="D178" s="84" t="s">
        <v>281</v>
      </c>
      <c r="G178" s="34"/>
      <c r="H178" s="84"/>
      <c r="J178" s="33"/>
      <c r="K178" s="38" t="s">
        <v>329</v>
      </c>
      <c r="L178" s="38" t="s">
        <v>201</v>
      </c>
      <c r="M178" s="84"/>
      <c r="N178" s="84"/>
      <c r="O178" s="100"/>
      <c r="Q178" s="35"/>
      <c r="R178" s="50" t="str">
        <f>IF(AND(ISNUMBER(G179),ISNUMBER(C178)),SUM(R179,R182:R184),"")</f>
        <v/>
      </c>
      <c r="S178" s="102" t="s">
        <v>172</v>
      </c>
      <c r="T178" s="36"/>
      <c r="U178" s="36"/>
      <c r="V178" s="36"/>
      <c r="W178" s="36"/>
      <c r="X178" s="36"/>
      <c r="Y178" s="36"/>
      <c r="Z178" s="36"/>
      <c r="AA178" s="36"/>
      <c r="AB178" s="108"/>
      <c r="AC178" s="36"/>
      <c r="AD178" s="36"/>
      <c r="AE178" s="36"/>
      <c r="AF178" s="36"/>
      <c r="AG178" s="36"/>
      <c r="AH178" s="36"/>
      <c r="AI178" s="36"/>
      <c r="AJ178" s="36"/>
      <c r="AK178" s="36"/>
      <c r="AL178" s="36"/>
      <c r="AM178" s="36"/>
      <c r="AN178" s="37"/>
      <c r="AO178" s="37"/>
      <c r="AP178" s="37"/>
      <c r="AQ178" s="37"/>
      <c r="AR178" s="37"/>
      <c r="AS178" s="37"/>
      <c r="AT178" s="37"/>
      <c r="AU178" s="37"/>
      <c r="AV178" s="37"/>
      <c r="AW178" s="37"/>
      <c r="AX178" s="37"/>
      <c r="AY178" s="37"/>
      <c r="AZ178" s="37"/>
      <c r="BA178" s="37"/>
      <c r="BB178" s="37"/>
      <c r="BC178" s="37"/>
      <c r="BD178" s="37"/>
      <c r="BE178" s="37"/>
    </row>
    <row r="179" spans="2:59" s="31" customFormat="1" ht="46.5" x14ac:dyDescent="0.3">
      <c r="B179" s="155" t="s">
        <v>728</v>
      </c>
      <c r="C179" s="396" t="s">
        <v>283</v>
      </c>
      <c r="D179" s="397"/>
      <c r="G179" s="156"/>
      <c r="H179" s="84" t="s">
        <v>5</v>
      </c>
      <c r="J179" s="173" t="s">
        <v>441</v>
      </c>
      <c r="K179" s="96">
        <f>IF(ISNUMBER(L179),L179,IF(C179=Pudotusvalikot!$N$4,Kalusto!$G$105,IF(C179=Pudotusvalikot!$N$5,Kalusto!$G$106,IF(C179=Pudotusvalikot!$N$6,Kalusto!$G$107,IF(C179=Pudotusvalikot!$N$7,Kalusto!$G$108,Kalusto!$G$105))))*IF(OR(C181=Pudotusvalikot!$V$3,C181=Pudotusvalikot!$V$4),Muut!$E$38,IF(C181=Pudotusvalikot!$V$5,Muut!$E$39,IF(C181=Pudotusvalikot!$V$6,Muut!$E$40,Muut!$E$41))))</f>
        <v>4.9950000000000001E-2</v>
      </c>
      <c r="L179" s="40"/>
      <c r="M179" s="41" t="s">
        <v>200</v>
      </c>
      <c r="N179" s="41"/>
      <c r="O179" s="265"/>
      <c r="Q179" s="35"/>
      <c r="R179" s="50" t="str">
        <f>IF(ISNUMBER(Y180*X180*K179),Y180*X180*K179,"")</f>
        <v/>
      </c>
      <c r="S179" s="102" t="s">
        <v>172</v>
      </c>
      <c r="T179" s="36" t="s">
        <v>446</v>
      </c>
      <c r="U179" s="36" t="s">
        <v>384</v>
      </c>
      <c r="V179" s="36" t="s">
        <v>443</v>
      </c>
      <c r="W179" s="36" t="s">
        <v>444</v>
      </c>
      <c r="X179" s="36" t="s">
        <v>447</v>
      </c>
      <c r="Y179" s="36" t="s">
        <v>449</v>
      </c>
      <c r="Z179" s="36" t="s">
        <v>374</v>
      </c>
      <c r="AA179" s="36"/>
      <c r="AB179" s="108"/>
      <c r="AC179" s="36"/>
      <c r="AD179" s="36"/>
      <c r="AE179" s="36"/>
      <c r="AF179" s="36"/>
      <c r="AG179" s="36"/>
      <c r="AH179" s="36"/>
      <c r="AI179" s="36"/>
      <c r="AJ179" s="36"/>
      <c r="AK179" s="36"/>
      <c r="AL179" s="36"/>
      <c r="AM179" s="36"/>
      <c r="AN179" s="37"/>
      <c r="AO179" s="37"/>
      <c r="AP179" s="37"/>
      <c r="AQ179" s="37"/>
      <c r="AR179" s="37"/>
      <c r="AS179" s="37"/>
      <c r="AT179" s="37"/>
      <c r="AU179" s="37"/>
      <c r="AV179" s="37"/>
      <c r="AW179" s="37"/>
      <c r="AX179" s="37"/>
      <c r="AY179" s="37"/>
      <c r="AZ179" s="37"/>
      <c r="BA179" s="37"/>
      <c r="BB179" s="37"/>
      <c r="BC179" s="37"/>
      <c r="BD179" s="37"/>
      <c r="BE179" s="37"/>
    </row>
    <row r="180" spans="2:59" s="31" customFormat="1" ht="15.5" x14ac:dyDescent="0.3">
      <c r="B180" s="78" t="s">
        <v>377</v>
      </c>
      <c r="C180" s="392" t="s">
        <v>93</v>
      </c>
      <c r="D180" s="393"/>
      <c r="E180" s="393"/>
      <c r="F180" s="393"/>
      <c r="G180" s="394"/>
      <c r="J180" s="33"/>
      <c r="K180" s="38" t="s">
        <v>329</v>
      </c>
      <c r="L180" s="38" t="s">
        <v>201</v>
      </c>
      <c r="M180" s="41"/>
      <c r="N180" s="41"/>
      <c r="O180" s="265"/>
      <c r="Q180" s="47"/>
      <c r="R180" s="108"/>
      <c r="S180" s="36"/>
      <c r="T180" s="48" t="str">
        <f>IF(ISNUMBER(L179),"Kohdetieto",IF(OR(C180=Pudotusvalikot!$D$14,C180=Pudotusvalikot!$D$15),Kalusto!$I$96,VLOOKUP(C180,Kalusto!$C$44:$L$83,7,FALSE)))</f>
        <v>Puoliperävaunu</v>
      </c>
      <c r="U180" s="48">
        <f>IF(ISNUMBER(L179),"Kohdetieto",IF(OR(C180=Pudotusvalikot!$D$14,C180=Pudotusvalikot!$D$15),Kalusto!$J$96,VLOOKUP(C180,Kalusto!$C$44:$L$83,8,FALSE)))</f>
        <v>40</v>
      </c>
      <c r="V180" s="49">
        <f>IF(ISNUMBER(L179),"Kohdetieto",IF(OR(C180=Pudotusvalikot!$D$14,C180=Pudotusvalikot!$D$15),Kalusto!$K$96,VLOOKUP(C180,Kalusto!$C$44:$L$83,9,FALSE)))</f>
        <v>0.8</v>
      </c>
      <c r="W180" s="49" t="str">
        <f>IF(ISNUMBER(L179),"Kohdetieto",IF(OR(C180=Pudotusvalikot!$D$14,C180=Pudotusvalikot!$D$15),Kalusto!$L$96,VLOOKUP(C180,Kalusto!$C$44:$L$83,10,FALSE)))</f>
        <v>maantieajo</v>
      </c>
      <c r="X180" s="50" t="str">
        <f>IF(ISBLANK(C178),"",C178/1000)</f>
        <v/>
      </c>
      <c r="Y180" s="48" t="str">
        <f>IF(ISNUMBER(G179),G179,"")</f>
        <v/>
      </c>
      <c r="Z180" s="51">
        <f>IF(ISNUMBER(L179),L179,K179)</f>
        <v>4.9950000000000001E-2</v>
      </c>
      <c r="AA180" s="36"/>
      <c r="AB180" s="108"/>
      <c r="AC180" s="36"/>
      <c r="AD180" s="36"/>
      <c r="AE180" s="36"/>
      <c r="AF180" s="36"/>
      <c r="AG180" s="36"/>
      <c r="AH180" s="36"/>
      <c r="AI180" s="36"/>
      <c r="AJ180" s="36"/>
      <c r="AK180" s="36"/>
      <c r="AL180" s="36"/>
      <c r="AM180" s="36"/>
      <c r="AN180" s="37"/>
      <c r="AO180" s="37"/>
      <c r="AP180" s="37"/>
      <c r="AQ180" s="37"/>
      <c r="AR180" s="37"/>
      <c r="AS180" s="37"/>
      <c r="AT180" s="37"/>
      <c r="AU180" s="37"/>
      <c r="AV180" s="37"/>
      <c r="AW180" s="37"/>
      <c r="AX180" s="37"/>
      <c r="AY180" s="37"/>
      <c r="AZ180" s="37"/>
      <c r="BA180" s="37"/>
      <c r="BB180" s="37"/>
      <c r="BC180" s="37"/>
      <c r="BD180" s="37"/>
      <c r="BE180" s="37"/>
    </row>
    <row r="181" spans="2:59" s="31" customFormat="1" ht="15.5" x14ac:dyDescent="0.3">
      <c r="B181" s="78" t="s">
        <v>506</v>
      </c>
      <c r="C181" s="160" t="s">
        <v>242</v>
      </c>
      <c r="D181" s="34"/>
      <c r="E181" s="34"/>
      <c r="F181" s="34"/>
      <c r="G181" s="34"/>
      <c r="H181" s="59"/>
      <c r="J181" s="173"/>
      <c r="K181" s="173"/>
      <c r="L181" s="173"/>
      <c r="M181" s="41"/>
      <c r="N181" s="41"/>
      <c r="O181" s="265"/>
      <c r="Q181" s="47"/>
      <c r="R181" s="36"/>
      <c r="S181" s="36"/>
      <c r="T181" s="36"/>
      <c r="U181" s="36"/>
      <c r="V181" s="181"/>
      <c r="W181" s="181"/>
      <c r="X181" s="61"/>
      <c r="Y181" s="36"/>
      <c r="Z181" s="61"/>
      <c r="AA181" s="182"/>
      <c r="AB181" s="61"/>
      <c r="AC181" s="61"/>
      <c r="AD181" s="61"/>
      <c r="AE181" s="61"/>
      <c r="AF181" s="182"/>
      <c r="AG181" s="61"/>
      <c r="AH181" s="36"/>
      <c r="AI181" s="36"/>
      <c r="AJ181" s="36"/>
      <c r="AK181" s="108"/>
      <c r="AL181" s="36"/>
      <c r="AM181" s="36"/>
      <c r="AN181" s="37"/>
      <c r="AO181" s="37"/>
      <c r="AP181" s="37"/>
      <c r="AQ181" s="37"/>
      <c r="AR181" s="37"/>
      <c r="AS181" s="37"/>
      <c r="AT181" s="37"/>
      <c r="AU181" s="37"/>
      <c r="AV181" s="37"/>
      <c r="AW181" s="37"/>
      <c r="AX181" s="37"/>
      <c r="AY181" s="37"/>
      <c r="AZ181" s="37"/>
      <c r="BA181" s="37"/>
      <c r="BB181" s="37"/>
      <c r="BC181" s="37"/>
      <c r="BD181" s="37"/>
      <c r="BE181" s="37"/>
    </row>
    <row r="182" spans="2:59" s="31" customFormat="1" ht="15.5" x14ac:dyDescent="0.3">
      <c r="B182" s="155" t="s">
        <v>543</v>
      </c>
      <c r="C182" s="395" t="s">
        <v>283</v>
      </c>
      <c r="D182" s="395"/>
      <c r="G182" s="156"/>
      <c r="H182" s="84" t="s">
        <v>5</v>
      </c>
      <c r="J182" s="33" t="str">
        <f>IF(C182="Kuljetus","Ei oletusta","Oletus (" &amp; IF(C182="Tiekuljetus",Kalusto!$C$105,IF(C182="Raidekuljetus",Kalusto!$C$106,IF(C182="Laivarahti",Kalusto!$C$107,Kalusto!$C$108))) &amp; ")" )</f>
        <v>Oletus (Puoliperävaunuyhdistelmä, 40 t, 100 % kuorma, maantieajo)</v>
      </c>
      <c r="K182" s="96">
        <f>IF(ISNUMBER(L182),L182,IF(C182=Pudotusvalikot!$N$4,Kalusto!$G$105,IF(C182=Pudotusvalikot!$N$5,Kalusto!$G$106,IF(C182=Pudotusvalikot!$N$6,Kalusto!$G$107,IF(C182=Pudotusvalikot!$N$7,Kalusto!$G$108,Kalusto!$G$105)))))</f>
        <v>4.9950000000000001E-2</v>
      </c>
      <c r="L182" s="40"/>
      <c r="M182" s="41" t="s">
        <v>200</v>
      </c>
      <c r="N182" s="41"/>
      <c r="O182" s="265"/>
      <c r="Q182" s="35"/>
      <c r="R182" s="50" t="str">
        <f>IF(AND(ISNUMBER(G180)*ISNUMBER(C178)),K182*G182*C178,"")</f>
        <v/>
      </c>
      <c r="S182" s="102" t="s">
        <v>172</v>
      </c>
      <c r="T182" s="108"/>
      <c r="U182" s="36"/>
      <c r="V182" s="36"/>
      <c r="W182" s="36"/>
      <c r="X182" s="36"/>
      <c r="Y182" s="36"/>
      <c r="Z182" s="36"/>
      <c r="AA182" s="36"/>
      <c r="AB182" s="36"/>
      <c r="AC182" s="36"/>
      <c r="AD182" s="36"/>
      <c r="AE182" s="36"/>
      <c r="AF182" s="36"/>
      <c r="AG182" s="36"/>
      <c r="AH182" s="36"/>
      <c r="AI182" s="36"/>
      <c r="AJ182" s="36"/>
      <c r="AK182" s="36"/>
      <c r="AL182" s="36"/>
      <c r="AM182" s="36"/>
      <c r="AN182" s="37"/>
      <c r="AO182" s="37"/>
      <c r="AP182" s="37"/>
      <c r="AQ182" s="37"/>
      <c r="AR182" s="37"/>
      <c r="AS182" s="37"/>
      <c r="AT182" s="37"/>
      <c r="AU182" s="37"/>
      <c r="AV182" s="37"/>
      <c r="AW182" s="37"/>
      <c r="AX182" s="37"/>
      <c r="AY182" s="37"/>
      <c r="AZ182" s="37"/>
      <c r="BA182" s="37"/>
      <c r="BB182" s="37"/>
      <c r="BC182" s="37"/>
      <c r="BD182" s="37"/>
      <c r="BE182" s="37"/>
    </row>
    <row r="183" spans="2:59" s="31" customFormat="1" ht="15.5" x14ac:dyDescent="0.3">
      <c r="B183" s="155" t="s">
        <v>543</v>
      </c>
      <c r="C183" s="395" t="s">
        <v>284</v>
      </c>
      <c r="D183" s="395"/>
      <c r="G183" s="156"/>
      <c r="H183" s="84" t="s">
        <v>5</v>
      </c>
      <c r="J183" s="33" t="str">
        <f>IF(C183="Kuljetus","Ei oletusta","Oletus (" &amp; IF(C183="Tiekuljetus",Kalusto!$C$105,IF(C183="Raidekuljetus",Kalusto!$C$106,IF(C183="Laivarahti",Kalusto!$C$107,Kalusto!$C$108))) &amp; ")" )</f>
        <v>Oletus (Merikuljetus, konttilaiva, 1000 TEU)</v>
      </c>
      <c r="K183" s="96">
        <f>IF(ISNUMBER(L183),L183,IF(C183=Pudotusvalikot!$N$4,Kalusto!$G$105,IF(C183=Pudotusvalikot!$N$5,Kalusto!$G$106,IF(C183=Pudotusvalikot!$N$6,Kalusto!$G$107,IF(C183=Pudotusvalikot!$N$7,Kalusto!$G$108,"--")))))</f>
        <v>4.4999999999999998E-2</v>
      </c>
      <c r="L183" s="40"/>
      <c r="M183" s="41" t="s">
        <v>200</v>
      </c>
      <c r="N183" s="41"/>
      <c r="O183" s="265"/>
      <c r="Q183" s="35"/>
      <c r="R183" s="50" t="str">
        <f>IF(AND(ISNUMBER(G180)*ISNUMBER(C178)),K183*G183*C178,"")</f>
        <v/>
      </c>
      <c r="S183" s="102" t="s">
        <v>172</v>
      </c>
      <c r="T183" s="108"/>
      <c r="U183" s="36"/>
      <c r="V183" s="36"/>
      <c r="W183" s="36"/>
      <c r="X183" s="36"/>
      <c r="Y183" s="36"/>
      <c r="Z183" s="36"/>
      <c r="AA183" s="36"/>
      <c r="AB183" s="36"/>
      <c r="AC183" s="36"/>
      <c r="AD183" s="36"/>
      <c r="AE183" s="36"/>
      <c r="AF183" s="36"/>
      <c r="AG183" s="36"/>
      <c r="AH183" s="36"/>
      <c r="AI183" s="36"/>
      <c r="AJ183" s="36"/>
      <c r="AK183" s="36"/>
      <c r="AL183" s="36"/>
      <c r="AM183" s="36"/>
      <c r="AN183" s="37"/>
      <c r="AO183" s="37"/>
      <c r="AP183" s="37"/>
      <c r="AQ183" s="37"/>
      <c r="AR183" s="37"/>
      <c r="AS183" s="37"/>
      <c r="AT183" s="37"/>
      <c r="AU183" s="37"/>
      <c r="AV183" s="37"/>
      <c r="AW183" s="37"/>
      <c r="AX183" s="37"/>
      <c r="AY183" s="37"/>
      <c r="AZ183" s="37"/>
      <c r="BA183" s="37"/>
      <c r="BB183" s="37"/>
      <c r="BC183" s="37"/>
      <c r="BD183" s="37"/>
      <c r="BE183" s="37"/>
    </row>
    <row r="184" spans="2:59" s="31" customFormat="1" ht="15.5" x14ac:dyDescent="0.3">
      <c r="B184" s="155" t="s">
        <v>543</v>
      </c>
      <c r="C184" s="395" t="s">
        <v>283</v>
      </c>
      <c r="D184" s="395"/>
      <c r="G184" s="156"/>
      <c r="H184" s="84" t="s">
        <v>5</v>
      </c>
      <c r="J184" s="33" t="str">
        <f>IF(C184="Kuljetus","Ei oletusta","Oletus (" &amp; IF(C184="Tiekuljetus",Kalusto!$C$105,IF(C184="Raidekuljetus",Kalusto!$C$106,IF(C184="Laivarahti",Kalusto!$C$107,Kalusto!$C$108))) &amp; ")" )</f>
        <v>Oletus (Puoliperävaunuyhdistelmä, 40 t, 100 % kuorma, maantieajo)</v>
      </c>
      <c r="K184" s="96">
        <f>IF(ISNUMBER(L184),L184,IF(C184=Pudotusvalikot!$N$4,Kalusto!$G$105,IF(C184=Pudotusvalikot!$N$5,Kalusto!$G$106,IF(C184=Pudotusvalikot!$N$6,Kalusto!$G$107,IF(C184=Pudotusvalikot!$N$7,Kalusto!$G$108,"--")))))</f>
        <v>4.9950000000000001E-2</v>
      </c>
      <c r="L184" s="40"/>
      <c r="M184" s="41" t="s">
        <v>200</v>
      </c>
      <c r="N184" s="41"/>
      <c r="O184" s="265"/>
      <c r="Q184" s="35"/>
      <c r="R184" s="50" t="str">
        <f>IF(AND(ISNUMBER(G180)*ISNUMBER(C178)),K184*G184*C178,"")</f>
        <v/>
      </c>
      <c r="S184" s="102" t="s">
        <v>172</v>
      </c>
      <c r="T184" s="108"/>
      <c r="U184" s="36"/>
      <c r="V184" s="36"/>
      <c r="W184" s="36"/>
      <c r="X184" s="36"/>
      <c r="Y184" s="36"/>
      <c r="Z184" s="36"/>
      <c r="AA184" s="36"/>
      <c r="AB184" s="36"/>
      <c r="AC184" s="36"/>
      <c r="AD184" s="36"/>
      <c r="AE184" s="36"/>
      <c r="AF184" s="36"/>
      <c r="AG184" s="36"/>
      <c r="AH184" s="36"/>
      <c r="AI184" s="36"/>
      <c r="AJ184" s="36"/>
      <c r="AK184" s="36"/>
      <c r="AL184" s="36"/>
      <c r="AM184" s="36"/>
      <c r="AN184" s="37"/>
      <c r="AO184" s="37"/>
      <c r="AP184" s="37"/>
      <c r="AQ184" s="37"/>
      <c r="AR184" s="37"/>
      <c r="AS184" s="37"/>
      <c r="AT184" s="37"/>
      <c r="AU184" s="37"/>
      <c r="AV184" s="37"/>
      <c r="AW184" s="37"/>
      <c r="AX184" s="37"/>
      <c r="AY184" s="37"/>
      <c r="AZ184" s="37"/>
      <c r="BA184" s="37"/>
      <c r="BB184" s="37"/>
      <c r="BC184" s="37"/>
      <c r="BD184" s="37"/>
      <c r="BE184" s="37"/>
    </row>
    <row r="185" spans="2:59" s="31" customFormat="1" ht="15.5" x14ac:dyDescent="0.3">
      <c r="C185" s="34"/>
      <c r="D185" s="84"/>
      <c r="G185" s="34"/>
      <c r="H185" s="84"/>
      <c r="J185" s="33"/>
      <c r="K185" s="34"/>
      <c r="L185" s="34"/>
      <c r="M185" s="84"/>
      <c r="N185" s="84"/>
      <c r="O185" s="84"/>
      <c r="Q185" s="35"/>
      <c r="R185" s="99"/>
      <c r="S185" s="36"/>
      <c r="T185" s="36"/>
      <c r="U185" s="36"/>
      <c r="V185" s="36"/>
      <c r="W185" s="36"/>
      <c r="X185" s="36"/>
      <c r="Y185" s="36"/>
      <c r="Z185" s="36"/>
      <c r="AA185" s="36"/>
      <c r="AB185" s="36"/>
      <c r="AC185" s="36"/>
      <c r="AD185" s="36"/>
      <c r="AE185" s="36"/>
      <c r="AF185" s="36"/>
      <c r="AG185" s="36"/>
      <c r="AH185" s="36"/>
      <c r="AI185" s="36"/>
      <c r="AJ185" s="36"/>
      <c r="AK185" s="36"/>
      <c r="AL185" s="36"/>
      <c r="AM185" s="36"/>
      <c r="AN185" s="37"/>
      <c r="AO185" s="37"/>
      <c r="AP185" s="37"/>
      <c r="AQ185" s="37"/>
      <c r="AR185" s="37"/>
      <c r="AS185" s="37"/>
      <c r="AT185" s="37"/>
      <c r="AU185" s="37"/>
      <c r="AV185" s="37"/>
      <c r="AW185" s="37"/>
      <c r="AX185" s="37"/>
      <c r="AY185" s="37"/>
      <c r="AZ185" s="37"/>
      <c r="BA185" s="37"/>
      <c r="BB185" s="37"/>
      <c r="BC185" s="37"/>
      <c r="BD185" s="37"/>
      <c r="BE185" s="37"/>
    </row>
    <row r="186" spans="2:59" s="298" customFormat="1" ht="18" x14ac:dyDescent="0.3">
      <c r="B186" s="295" t="s">
        <v>59</v>
      </c>
      <c r="C186" s="296"/>
      <c r="D186" s="297"/>
      <c r="G186" s="296"/>
      <c r="H186" s="297"/>
      <c r="K186" s="296"/>
      <c r="L186" s="296"/>
      <c r="M186" s="297"/>
      <c r="N186" s="297"/>
      <c r="O186" s="300"/>
      <c r="P186" s="320"/>
      <c r="Q186" s="304"/>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4"/>
      <c r="AO186" s="304"/>
      <c r="AP186" s="304"/>
      <c r="AQ186" s="304"/>
      <c r="AR186" s="304"/>
      <c r="AS186" s="304"/>
      <c r="AT186" s="304"/>
      <c r="AU186" s="304"/>
      <c r="AV186" s="304"/>
      <c r="AW186" s="304"/>
      <c r="AX186" s="304"/>
      <c r="AY186" s="304"/>
      <c r="AZ186" s="304"/>
      <c r="BA186" s="304"/>
      <c r="BB186" s="304"/>
      <c r="BC186" s="304"/>
      <c r="BD186" s="304"/>
      <c r="BE186" s="304"/>
    </row>
    <row r="187" spans="2:59" s="31" customFormat="1" ht="15.5" x14ac:dyDescent="0.3">
      <c r="B187" s="9"/>
      <c r="C187" s="34"/>
      <c r="D187" s="84"/>
      <c r="H187" s="84"/>
      <c r="J187" s="33"/>
      <c r="K187" s="38"/>
      <c r="L187" s="38"/>
      <c r="P187" s="38"/>
      <c r="Q187" s="133"/>
      <c r="R187" s="98"/>
      <c r="S187" s="108"/>
      <c r="T187" s="37"/>
      <c r="U187" s="36"/>
      <c r="V187" s="36"/>
      <c r="W187" s="36"/>
      <c r="X187" s="36"/>
      <c r="Y187" s="36"/>
      <c r="Z187" s="36"/>
      <c r="AA187" s="36"/>
      <c r="AB187" s="36"/>
      <c r="AC187" s="36"/>
      <c r="AD187" s="36"/>
      <c r="AE187" s="36"/>
      <c r="AF187" s="36"/>
      <c r="AG187" s="36"/>
      <c r="AH187" s="36"/>
      <c r="AI187" s="36"/>
      <c r="AJ187" s="36"/>
      <c r="AK187" s="36"/>
      <c r="AL187" s="36"/>
      <c r="AM187" s="36"/>
      <c r="AN187" s="36"/>
      <c r="AO187" s="36"/>
      <c r="AP187" s="37"/>
      <c r="AQ187" s="37"/>
      <c r="AR187" s="37"/>
      <c r="AS187" s="37"/>
      <c r="AT187" s="37"/>
      <c r="AU187" s="37"/>
      <c r="AV187" s="37"/>
      <c r="AW187" s="37"/>
      <c r="AX187" s="37"/>
      <c r="AY187" s="37"/>
      <c r="AZ187" s="37"/>
      <c r="BA187" s="37"/>
      <c r="BB187" s="37"/>
      <c r="BC187" s="37"/>
      <c r="BD187" s="37"/>
      <c r="BE187" s="37"/>
      <c r="BF187" s="37"/>
      <c r="BG187" s="37"/>
    </row>
    <row r="188" spans="2:59" s="31" customFormat="1" ht="15.5" x14ac:dyDescent="0.3">
      <c r="B188" s="155" t="s">
        <v>487</v>
      </c>
      <c r="C188" s="34"/>
      <c r="D188" s="84"/>
      <c r="G188" s="34"/>
      <c r="H188" s="84"/>
      <c r="K188" s="38" t="s">
        <v>329</v>
      </c>
      <c r="L188" s="38" t="s">
        <v>201</v>
      </c>
      <c r="M188" s="84"/>
      <c r="N188" s="84"/>
      <c r="O188" s="255" t="s">
        <v>644</v>
      </c>
      <c r="Q188" s="35"/>
      <c r="R188" s="36" t="s">
        <v>350</v>
      </c>
      <c r="S188" s="36"/>
      <c r="T188" s="36" t="s">
        <v>275</v>
      </c>
      <c r="U188" s="108"/>
      <c r="V188" s="36"/>
      <c r="W188" s="36"/>
      <c r="X188" s="36"/>
      <c r="Y188" s="36"/>
      <c r="Z188" s="36"/>
      <c r="AA188" s="36"/>
      <c r="AB188" s="36"/>
      <c r="AC188" s="36"/>
      <c r="AD188" s="36"/>
      <c r="AE188" s="36"/>
      <c r="AF188" s="36"/>
      <c r="AG188" s="36"/>
      <c r="AH188" s="36"/>
      <c r="AI188" s="36"/>
      <c r="AJ188" s="36"/>
      <c r="AK188" s="36"/>
      <c r="AL188" s="36"/>
      <c r="AM188" s="36"/>
      <c r="AN188" s="37"/>
      <c r="AO188" s="37"/>
      <c r="AP188" s="37"/>
      <c r="AQ188" s="37"/>
      <c r="AR188" s="37"/>
      <c r="AS188" s="37"/>
      <c r="AT188" s="37"/>
      <c r="AU188" s="37"/>
      <c r="AV188" s="37"/>
      <c r="AW188" s="37"/>
      <c r="AX188" s="37"/>
      <c r="AY188" s="37"/>
      <c r="AZ188" s="37"/>
      <c r="BA188" s="37"/>
      <c r="BB188" s="37"/>
      <c r="BC188" s="37"/>
      <c r="BD188" s="37"/>
      <c r="BE188" s="37"/>
    </row>
    <row r="189" spans="2:59" s="31" customFormat="1" ht="15.5" x14ac:dyDescent="0.3">
      <c r="B189" s="54" t="s">
        <v>510</v>
      </c>
      <c r="C189" s="392" t="s">
        <v>124</v>
      </c>
      <c r="D189" s="393"/>
      <c r="E189" s="393"/>
      <c r="F189" s="393"/>
      <c r="G189" s="394"/>
      <c r="H189" s="84"/>
      <c r="J189" s="33" t="s">
        <v>470</v>
      </c>
      <c r="K189" s="96">
        <f>IF(ISNUMBER(L189),L189,IF(OR(C189=Pudotusvalikot!$D$67,C189=Pudotusvalikot!$D$68),"--",VLOOKUP(C189,Kalusto!$C$5:$E$42,3,FALSE)*IF(OR(C190=Pudotusvalikot!$V$3,C190=Pudotusvalikot!$V$4),Muut!$E$38,IF(C190=Pudotusvalikot!$V$5,Muut!$E$39,IF(C190=Pudotusvalikot!$V$6,Muut!$E$40,Muut!$E$41)))))</f>
        <v>13.05</v>
      </c>
      <c r="L189" s="40"/>
      <c r="M189" s="41" t="s">
        <v>205</v>
      </c>
      <c r="N189" s="41"/>
      <c r="O189" s="256"/>
      <c r="Q189" s="35"/>
      <c r="R189" s="50" t="str">
        <f>IF(ISNUMBER(K189*T189),K189*T189,"")</f>
        <v/>
      </c>
      <c r="S189" s="102" t="s">
        <v>172</v>
      </c>
      <c r="T189" s="50" t="str">
        <f>IF(ISNUMBER(C191),C191,"")</f>
        <v/>
      </c>
      <c r="U189" s="108"/>
      <c r="V189" s="61"/>
      <c r="W189" s="36"/>
      <c r="X189" s="36"/>
      <c r="Y189" s="36"/>
      <c r="Z189" s="36"/>
      <c r="AA189" s="36"/>
      <c r="AB189" s="36"/>
      <c r="AC189" s="36"/>
      <c r="AD189" s="36"/>
      <c r="AE189" s="36"/>
      <c r="AF189" s="36"/>
      <c r="AG189" s="36"/>
      <c r="AH189" s="36"/>
      <c r="AI189" s="36"/>
      <c r="AJ189" s="36"/>
      <c r="AK189" s="36"/>
      <c r="AL189" s="36"/>
      <c r="AM189" s="36"/>
      <c r="AN189" s="37"/>
      <c r="AO189" s="37"/>
      <c r="AP189" s="37"/>
      <c r="AQ189" s="37"/>
      <c r="AR189" s="37"/>
      <c r="AS189" s="37"/>
      <c r="AT189" s="37"/>
      <c r="AU189" s="37"/>
      <c r="AV189" s="37"/>
      <c r="AW189" s="37"/>
      <c r="AX189" s="37"/>
      <c r="AY189" s="37"/>
      <c r="AZ189" s="37"/>
      <c r="BA189" s="37"/>
      <c r="BB189" s="37"/>
      <c r="BC189" s="37"/>
      <c r="BD189" s="37"/>
      <c r="BE189" s="37"/>
    </row>
    <row r="190" spans="2:59" s="31" customFormat="1" ht="15.5" x14ac:dyDescent="0.3">
      <c r="B190" s="170" t="s">
        <v>509</v>
      </c>
      <c r="C190" s="160" t="s">
        <v>242</v>
      </c>
      <c r="D190" s="34"/>
      <c r="E190" s="34"/>
      <c r="F190" s="34"/>
      <c r="G190" s="34"/>
      <c r="H190" s="59"/>
      <c r="J190" s="173"/>
      <c r="K190" s="173"/>
      <c r="L190" s="173"/>
      <c r="M190" s="41"/>
      <c r="N190" s="41"/>
      <c r="O190" s="265"/>
      <c r="Q190" s="47"/>
      <c r="R190" s="61"/>
      <c r="S190" s="102"/>
      <c r="T190" s="36"/>
      <c r="U190" s="36"/>
      <c r="V190" s="181"/>
      <c r="W190" s="181"/>
      <c r="X190" s="61"/>
      <c r="Y190" s="36"/>
      <c r="Z190" s="61"/>
      <c r="AA190" s="182"/>
      <c r="AB190" s="61"/>
      <c r="AC190" s="61"/>
      <c r="AD190" s="61"/>
      <c r="AE190" s="61"/>
      <c r="AF190" s="182"/>
      <c r="AG190" s="61"/>
      <c r="AH190" s="36"/>
      <c r="AI190" s="36"/>
      <c r="AJ190" s="36"/>
      <c r="AK190" s="108"/>
      <c r="AL190" s="36"/>
      <c r="AM190" s="36"/>
      <c r="AN190" s="37"/>
      <c r="AO190" s="37"/>
      <c r="AP190" s="37"/>
      <c r="AQ190" s="37"/>
      <c r="AR190" s="37"/>
      <c r="AS190" s="37"/>
      <c r="AT190" s="37"/>
      <c r="AU190" s="37"/>
      <c r="AV190" s="37"/>
      <c r="AW190" s="37"/>
      <c r="AX190" s="37"/>
      <c r="AY190" s="37"/>
      <c r="AZ190" s="37"/>
      <c r="BA190" s="37"/>
      <c r="BB190" s="37"/>
      <c r="BC190" s="37"/>
      <c r="BD190" s="37"/>
      <c r="BE190" s="37"/>
    </row>
    <row r="191" spans="2:59" s="31" customFormat="1" ht="15.5" x14ac:dyDescent="0.3">
      <c r="B191" s="54" t="s">
        <v>274</v>
      </c>
      <c r="C191" s="193"/>
      <c r="D191" s="84" t="s">
        <v>51</v>
      </c>
      <c r="G191" s="34"/>
      <c r="H191" s="84"/>
      <c r="J191" s="33"/>
      <c r="K191" s="34"/>
      <c r="L191" s="34"/>
      <c r="M191" s="84"/>
      <c r="N191" s="84"/>
      <c r="O191" s="100"/>
      <c r="Q191" s="35"/>
      <c r="R191" s="36"/>
      <c r="S191" s="36"/>
      <c r="T191" s="36"/>
      <c r="U191" s="108"/>
      <c r="V191" s="36"/>
      <c r="W191" s="36"/>
      <c r="X191" s="36"/>
      <c r="Y191" s="36"/>
      <c r="Z191" s="36"/>
      <c r="AA191" s="36"/>
      <c r="AB191" s="36"/>
      <c r="AC191" s="36"/>
      <c r="AD191" s="36"/>
      <c r="AE191" s="36"/>
      <c r="AF191" s="36"/>
      <c r="AG191" s="36"/>
      <c r="AH191" s="36"/>
      <c r="AI191" s="36"/>
      <c r="AJ191" s="36"/>
      <c r="AK191" s="36"/>
      <c r="AL191" s="36"/>
      <c r="AM191" s="36"/>
      <c r="AN191" s="37"/>
      <c r="AO191" s="37"/>
      <c r="AP191" s="37"/>
      <c r="AQ191" s="37"/>
      <c r="AR191" s="37"/>
      <c r="AS191" s="37"/>
      <c r="AT191" s="37"/>
      <c r="AU191" s="37"/>
      <c r="AV191" s="37"/>
      <c r="AW191" s="37"/>
      <c r="AX191" s="37"/>
      <c r="AY191" s="37"/>
      <c r="AZ191" s="37"/>
      <c r="BA191" s="37"/>
      <c r="BB191" s="37"/>
      <c r="BC191" s="37"/>
      <c r="BD191" s="37"/>
      <c r="BE191" s="37"/>
    </row>
    <row r="192" spans="2:59" s="31" customFormat="1" ht="15.5" x14ac:dyDescent="0.3">
      <c r="B192" s="155" t="s">
        <v>487</v>
      </c>
      <c r="C192" s="34"/>
      <c r="D192" s="84"/>
      <c r="G192" s="34"/>
      <c r="H192" s="84"/>
      <c r="K192" s="38" t="s">
        <v>329</v>
      </c>
      <c r="L192" s="38" t="s">
        <v>201</v>
      </c>
      <c r="M192" s="84"/>
      <c r="N192" s="84"/>
      <c r="O192" s="100"/>
      <c r="Q192" s="35"/>
      <c r="R192" s="36" t="s">
        <v>350</v>
      </c>
      <c r="S192" s="36"/>
      <c r="T192" s="36" t="s">
        <v>275</v>
      </c>
      <c r="U192" s="108"/>
      <c r="V192" s="36"/>
      <c r="W192" s="36"/>
      <c r="X192" s="36"/>
      <c r="Y192" s="36"/>
      <c r="Z192" s="36"/>
      <c r="AA192" s="36"/>
      <c r="AB192" s="36"/>
      <c r="AC192" s="36"/>
      <c r="AD192" s="36"/>
      <c r="AE192" s="36"/>
      <c r="AF192" s="36"/>
      <c r="AG192" s="36"/>
      <c r="AH192" s="36"/>
      <c r="AI192" s="36"/>
      <c r="AJ192" s="36"/>
      <c r="AK192" s="36"/>
      <c r="AL192" s="36"/>
      <c r="AM192" s="36"/>
      <c r="AN192" s="37"/>
      <c r="AO192" s="37"/>
      <c r="AP192" s="37"/>
      <c r="AQ192" s="37"/>
      <c r="AR192" s="37"/>
      <c r="AS192" s="37"/>
      <c r="AT192" s="37"/>
      <c r="AU192" s="37"/>
      <c r="AV192" s="37"/>
      <c r="AW192" s="37"/>
      <c r="AX192" s="37"/>
      <c r="AY192" s="37"/>
      <c r="AZ192" s="37"/>
      <c r="BA192" s="37"/>
      <c r="BB192" s="37"/>
      <c r="BC192" s="37"/>
      <c r="BD192" s="37"/>
      <c r="BE192" s="37"/>
    </row>
    <row r="193" spans="2:59" s="31" customFormat="1" ht="15.5" x14ac:dyDescent="0.3">
      <c r="B193" s="54" t="s">
        <v>510</v>
      </c>
      <c r="C193" s="392" t="s">
        <v>332</v>
      </c>
      <c r="D193" s="393"/>
      <c r="E193" s="393"/>
      <c r="F193" s="393"/>
      <c r="G193" s="394"/>
      <c r="H193" s="84"/>
      <c r="J193" s="33" t="s">
        <v>470</v>
      </c>
      <c r="K193" s="96" t="str">
        <f>IF(ISNUMBER(L193),L193,IF(OR(C193=Pudotusvalikot!$D$67,C193=Pudotusvalikot!$D$68),"--",VLOOKUP(C193,Kalusto!$C$5:$E$42,3,FALSE)*IF(OR(C194=Pudotusvalikot!$V$3,C194=Pudotusvalikot!$V$4),Muut!$E$38,IF(C194=Pudotusvalikot!$V$5,Muut!$E$39,IF(C194=Pudotusvalikot!$V$6,Muut!$E$40,Muut!$E$41)))))</f>
        <v>--</v>
      </c>
      <c r="L193" s="40"/>
      <c r="M193" s="41" t="s">
        <v>205</v>
      </c>
      <c r="N193" s="41"/>
      <c r="O193" s="265"/>
      <c r="Q193" s="35"/>
      <c r="R193" s="50" t="str">
        <f>IF(ISNUMBER(K193*T193),K193*T193,"")</f>
        <v/>
      </c>
      <c r="S193" s="102" t="s">
        <v>172</v>
      </c>
      <c r="T193" s="50" t="str">
        <f>IF(ISNUMBER(C195),C195,"")</f>
        <v/>
      </c>
      <c r="U193" s="108"/>
      <c r="V193" s="61"/>
      <c r="W193" s="36"/>
      <c r="X193" s="36"/>
      <c r="Y193" s="36"/>
      <c r="Z193" s="36"/>
      <c r="AA193" s="36"/>
      <c r="AB193" s="36"/>
      <c r="AC193" s="36"/>
      <c r="AD193" s="36"/>
      <c r="AE193" s="36"/>
      <c r="AF193" s="36"/>
      <c r="AG193" s="36"/>
      <c r="AH193" s="36"/>
      <c r="AI193" s="36"/>
      <c r="AJ193" s="36"/>
      <c r="AK193" s="36"/>
      <c r="AL193" s="36"/>
      <c r="AM193" s="36"/>
      <c r="AN193" s="37"/>
      <c r="AO193" s="37"/>
      <c r="AP193" s="37"/>
      <c r="AQ193" s="37"/>
      <c r="AR193" s="37"/>
      <c r="AS193" s="37"/>
      <c r="AT193" s="37"/>
      <c r="AU193" s="37"/>
      <c r="AV193" s="37"/>
      <c r="AW193" s="37"/>
      <c r="AX193" s="37"/>
      <c r="AY193" s="37"/>
      <c r="AZ193" s="37"/>
      <c r="BA193" s="37"/>
      <c r="BB193" s="37"/>
      <c r="BC193" s="37"/>
      <c r="BD193" s="37"/>
      <c r="BE193" s="37"/>
    </row>
    <row r="194" spans="2:59" s="31" customFormat="1" ht="15.5" x14ac:dyDescent="0.3">
      <c r="B194" s="170" t="s">
        <v>509</v>
      </c>
      <c r="C194" s="160" t="s">
        <v>242</v>
      </c>
      <c r="D194" s="34"/>
      <c r="E194" s="34"/>
      <c r="F194" s="34"/>
      <c r="G194" s="34"/>
      <c r="H194" s="59"/>
      <c r="J194" s="173"/>
      <c r="K194" s="173"/>
      <c r="L194" s="173"/>
      <c r="M194" s="41"/>
      <c r="N194" s="41"/>
      <c r="O194" s="265"/>
      <c r="Q194" s="47"/>
      <c r="R194" s="61"/>
      <c r="S194" s="102"/>
      <c r="T194" s="36"/>
      <c r="U194" s="36"/>
      <c r="V194" s="181"/>
      <c r="W194" s="181"/>
      <c r="X194" s="61"/>
      <c r="Y194" s="36"/>
      <c r="Z194" s="61"/>
      <c r="AA194" s="182"/>
      <c r="AB194" s="61"/>
      <c r="AC194" s="61"/>
      <c r="AD194" s="61"/>
      <c r="AE194" s="61"/>
      <c r="AF194" s="182"/>
      <c r="AG194" s="61"/>
      <c r="AH194" s="36"/>
      <c r="AI194" s="36"/>
      <c r="AJ194" s="36"/>
      <c r="AK194" s="108"/>
      <c r="AL194" s="36"/>
      <c r="AM194" s="36"/>
      <c r="AN194" s="37"/>
      <c r="AO194" s="37"/>
      <c r="AP194" s="37"/>
      <c r="AQ194" s="37"/>
      <c r="AR194" s="37"/>
      <c r="AS194" s="37"/>
      <c r="AT194" s="37"/>
      <c r="AU194" s="37"/>
      <c r="AV194" s="37"/>
      <c r="AW194" s="37"/>
      <c r="AX194" s="37"/>
      <c r="AY194" s="37"/>
      <c r="AZ194" s="37"/>
      <c r="BA194" s="37"/>
      <c r="BB194" s="37"/>
      <c r="BC194" s="37"/>
      <c r="BD194" s="37"/>
      <c r="BE194" s="37"/>
    </row>
    <row r="195" spans="2:59" s="31" customFormat="1" ht="15.5" x14ac:dyDescent="0.3">
      <c r="B195" s="54" t="s">
        <v>274</v>
      </c>
      <c r="C195" s="193"/>
      <c r="D195" s="84" t="s">
        <v>51</v>
      </c>
      <c r="G195" s="34"/>
      <c r="H195" s="84"/>
      <c r="J195" s="33"/>
      <c r="K195" s="34"/>
      <c r="L195" s="34"/>
      <c r="M195" s="84"/>
      <c r="N195" s="84"/>
      <c r="O195" s="100"/>
      <c r="Q195" s="35"/>
      <c r="R195" s="36"/>
      <c r="S195" s="36"/>
      <c r="T195" s="36"/>
      <c r="U195" s="108"/>
      <c r="V195" s="36"/>
      <c r="W195" s="36"/>
      <c r="X195" s="36"/>
      <c r="Y195" s="36"/>
      <c r="Z195" s="36"/>
      <c r="AA195" s="36"/>
      <c r="AB195" s="36"/>
      <c r="AC195" s="36"/>
      <c r="AD195" s="36"/>
      <c r="AE195" s="36"/>
      <c r="AF195" s="36"/>
      <c r="AG195" s="36"/>
      <c r="AH195" s="36"/>
      <c r="AI195" s="36"/>
      <c r="AJ195" s="36"/>
      <c r="AK195" s="36"/>
      <c r="AL195" s="36"/>
      <c r="AM195" s="36"/>
      <c r="AN195" s="37"/>
      <c r="AO195" s="37"/>
      <c r="AP195" s="37"/>
      <c r="AQ195" s="37"/>
      <c r="AR195" s="37"/>
      <c r="AS195" s="37"/>
      <c r="AT195" s="37"/>
      <c r="AU195" s="37"/>
      <c r="AV195" s="37"/>
      <c r="AW195" s="37"/>
      <c r="AX195" s="37"/>
      <c r="AY195" s="37"/>
      <c r="AZ195" s="37"/>
      <c r="BA195" s="37"/>
      <c r="BB195" s="37"/>
      <c r="BC195" s="37"/>
      <c r="BD195" s="37"/>
      <c r="BE195" s="37"/>
    </row>
    <row r="196" spans="2:59" s="31" customFormat="1" ht="15.5" x14ac:dyDescent="0.3">
      <c r="C196" s="80"/>
      <c r="D196" s="84"/>
      <c r="H196" s="84"/>
      <c r="J196" s="33"/>
      <c r="Q196" s="133"/>
      <c r="R196" s="98"/>
      <c r="S196" s="108"/>
      <c r="T196" s="37"/>
      <c r="U196" s="36"/>
      <c r="V196" s="36"/>
      <c r="W196" s="36"/>
      <c r="X196" s="36"/>
      <c r="Y196" s="36"/>
      <c r="Z196" s="36"/>
      <c r="AA196" s="36"/>
      <c r="AB196" s="36"/>
      <c r="AC196" s="36"/>
      <c r="AD196" s="36"/>
      <c r="AE196" s="36"/>
      <c r="AF196" s="36"/>
      <c r="AG196" s="36"/>
      <c r="AH196" s="36"/>
      <c r="AI196" s="36"/>
      <c r="AJ196" s="36"/>
      <c r="AK196" s="36"/>
      <c r="AL196" s="36"/>
      <c r="AM196" s="36"/>
      <c r="AN196" s="36"/>
      <c r="AO196" s="36"/>
      <c r="AP196" s="37"/>
      <c r="AQ196" s="37"/>
      <c r="AR196" s="37"/>
      <c r="AS196" s="37"/>
      <c r="AT196" s="37"/>
      <c r="AU196" s="37"/>
      <c r="AV196" s="37"/>
      <c r="AW196" s="37"/>
      <c r="AX196" s="37"/>
      <c r="AY196" s="37"/>
      <c r="AZ196" s="37"/>
      <c r="BA196" s="37"/>
      <c r="BB196" s="37"/>
      <c r="BC196" s="37"/>
      <c r="BD196" s="37"/>
      <c r="BE196" s="37"/>
      <c r="BF196" s="37"/>
      <c r="BG196" s="37"/>
    </row>
    <row r="197" spans="2:59" s="298" customFormat="1" ht="18" x14ac:dyDescent="0.3">
      <c r="B197" s="295" t="s">
        <v>326</v>
      </c>
      <c r="C197" s="296"/>
      <c r="D197" s="297"/>
      <c r="G197" s="296"/>
      <c r="H197" s="297"/>
      <c r="K197" s="296"/>
      <c r="L197" s="296"/>
      <c r="M197" s="297"/>
      <c r="N197" s="297"/>
      <c r="O197" s="300"/>
      <c r="P197" s="320"/>
      <c r="Q197" s="304"/>
      <c r="S197" s="303"/>
      <c r="T197" s="303"/>
      <c r="U197" s="303"/>
      <c r="V197" s="303"/>
      <c r="W197" s="303"/>
      <c r="X197" s="303"/>
      <c r="Y197" s="303"/>
      <c r="Z197" s="303"/>
      <c r="AA197" s="303"/>
      <c r="AB197" s="303"/>
      <c r="AC197" s="303"/>
      <c r="AD197" s="303"/>
      <c r="AE197" s="303"/>
      <c r="AF197" s="303"/>
      <c r="AG197" s="303"/>
      <c r="AH197" s="303"/>
      <c r="AI197" s="303"/>
      <c r="AJ197" s="303"/>
      <c r="AK197" s="303"/>
      <c r="AL197" s="303"/>
      <c r="AM197" s="303"/>
      <c r="AN197" s="304"/>
      <c r="AO197" s="304"/>
      <c r="AP197" s="304"/>
      <c r="AQ197" s="304"/>
      <c r="AR197" s="304"/>
      <c r="AS197" s="304"/>
      <c r="AT197" s="304"/>
      <c r="AU197" s="304"/>
      <c r="AV197" s="304"/>
      <c r="AW197" s="304"/>
      <c r="AX197" s="304"/>
      <c r="AY197" s="304"/>
      <c r="AZ197" s="304"/>
      <c r="BA197" s="304"/>
      <c r="BB197" s="304"/>
      <c r="BC197" s="304"/>
      <c r="BD197" s="304"/>
      <c r="BE197" s="304"/>
    </row>
    <row r="198" spans="2:59" s="31" customFormat="1" ht="15.5" x14ac:dyDescent="0.3">
      <c r="B198" s="9"/>
      <c r="C198" s="34"/>
      <c r="D198" s="84"/>
      <c r="H198" s="84"/>
      <c r="J198" s="33"/>
      <c r="K198" s="38"/>
      <c r="L198" s="38"/>
      <c r="P198" s="38"/>
      <c r="Q198" s="133"/>
      <c r="R198" s="98"/>
      <c r="S198" s="108"/>
      <c r="T198" s="37"/>
      <c r="U198" s="36"/>
      <c r="V198" s="36"/>
      <c r="W198" s="36"/>
      <c r="X198" s="36"/>
      <c r="Y198" s="36"/>
      <c r="Z198" s="36"/>
      <c r="AA198" s="36"/>
      <c r="AB198" s="36"/>
      <c r="AC198" s="36"/>
      <c r="AD198" s="36"/>
      <c r="AE198" s="36"/>
      <c r="AF198" s="36"/>
      <c r="AG198" s="36"/>
      <c r="AH198" s="36"/>
      <c r="AI198" s="36"/>
      <c r="AJ198" s="36"/>
      <c r="AK198" s="36"/>
      <c r="AL198" s="36"/>
      <c r="AM198" s="36"/>
      <c r="AN198" s="36"/>
      <c r="AO198" s="36"/>
      <c r="AP198" s="37"/>
      <c r="AQ198" s="37"/>
      <c r="AR198" s="37"/>
      <c r="AS198" s="37"/>
      <c r="AT198" s="37"/>
      <c r="AU198" s="37"/>
      <c r="AV198" s="37"/>
      <c r="AW198" s="37"/>
      <c r="AX198" s="37"/>
      <c r="AY198" s="37"/>
      <c r="AZ198" s="37"/>
      <c r="BA198" s="37"/>
      <c r="BB198" s="37"/>
      <c r="BC198" s="37"/>
      <c r="BD198" s="37"/>
      <c r="BE198" s="37"/>
      <c r="BF198" s="37"/>
      <c r="BG198" s="37"/>
    </row>
    <row r="199" spans="2:59" s="31" customFormat="1" ht="15.5" x14ac:dyDescent="0.3">
      <c r="B199" s="155" t="s">
        <v>487</v>
      </c>
      <c r="C199" s="34"/>
      <c r="D199" s="84"/>
      <c r="G199" s="34"/>
      <c r="H199" s="84"/>
      <c r="K199" s="38" t="s">
        <v>329</v>
      </c>
      <c r="L199" s="38" t="s">
        <v>201</v>
      </c>
      <c r="M199" s="84"/>
      <c r="N199" s="84"/>
      <c r="O199" s="255" t="s">
        <v>644</v>
      </c>
      <c r="Q199" s="35"/>
      <c r="R199" s="36" t="s">
        <v>350</v>
      </c>
      <c r="S199" s="36"/>
      <c r="T199" s="36" t="s">
        <v>275</v>
      </c>
      <c r="U199" s="108"/>
      <c r="V199" s="36"/>
      <c r="W199" s="36"/>
      <c r="X199" s="36"/>
      <c r="Y199" s="36"/>
      <c r="Z199" s="36"/>
      <c r="AA199" s="36"/>
      <c r="AB199" s="36"/>
      <c r="AC199" s="36"/>
      <c r="AD199" s="36"/>
      <c r="AE199" s="36"/>
      <c r="AF199" s="36"/>
      <c r="AG199" s="36"/>
      <c r="AH199" s="36"/>
      <c r="AI199" s="36"/>
      <c r="AJ199" s="36"/>
      <c r="AK199" s="36"/>
      <c r="AL199" s="36"/>
      <c r="AM199" s="36"/>
      <c r="AN199" s="37"/>
      <c r="AO199" s="37"/>
      <c r="AP199" s="37"/>
      <c r="AQ199" s="37"/>
      <c r="AR199" s="37"/>
      <c r="AS199" s="37"/>
      <c r="AT199" s="37"/>
      <c r="AU199" s="37"/>
      <c r="AV199" s="37"/>
      <c r="AW199" s="37"/>
      <c r="AX199" s="37"/>
      <c r="AY199" s="37"/>
      <c r="AZ199" s="37"/>
      <c r="BA199" s="37"/>
      <c r="BB199" s="37"/>
      <c r="BC199" s="37"/>
      <c r="BD199" s="37"/>
      <c r="BE199" s="37"/>
    </row>
    <row r="200" spans="2:59" s="31" customFormat="1" ht="15.5" x14ac:dyDescent="0.3">
      <c r="B200" s="54" t="s">
        <v>510</v>
      </c>
      <c r="C200" s="392" t="s">
        <v>135</v>
      </c>
      <c r="D200" s="393"/>
      <c r="E200" s="393"/>
      <c r="F200" s="393"/>
      <c r="G200" s="394"/>
      <c r="H200" s="84"/>
      <c r="J200" s="33" t="s">
        <v>470</v>
      </c>
      <c r="K200" s="96">
        <f>IF(ISNUMBER(L200),L200,IF(OR(C200=Pudotusvalikot!$D$67,C200=Pudotusvalikot!$D$68),"--",VLOOKUP(C200,Kalusto!$C$5:$E$42,3,FALSE)*IF(OR(C201=Pudotusvalikot!$V$3,C201=Pudotusvalikot!$V$4),Muut!$E$38,IF(C201=Pudotusvalikot!$V$5,Muut!$E$39,IF(C201=Pudotusvalikot!$V$6,Muut!$E$40,Muut!$E$41)))))</f>
        <v>10.3</v>
      </c>
      <c r="L200" s="40"/>
      <c r="M200" s="41" t="s">
        <v>205</v>
      </c>
      <c r="N200" s="41"/>
      <c r="O200" s="256"/>
      <c r="Q200" s="35"/>
      <c r="R200" s="50" t="str">
        <f>IF(ISNUMBER(K200*T200),K200*T200,"")</f>
        <v/>
      </c>
      <c r="S200" s="102" t="s">
        <v>172</v>
      </c>
      <c r="T200" s="50" t="str">
        <f>IF(ISNUMBER(C202),C202,"")</f>
        <v/>
      </c>
      <c r="U200" s="108"/>
      <c r="V200" s="61"/>
      <c r="W200" s="36"/>
      <c r="X200" s="36"/>
      <c r="Y200" s="36"/>
      <c r="Z200" s="36"/>
      <c r="AA200" s="36"/>
      <c r="AB200" s="36"/>
      <c r="AC200" s="36"/>
      <c r="AD200" s="36"/>
      <c r="AE200" s="36"/>
      <c r="AF200" s="36"/>
      <c r="AG200" s="36"/>
      <c r="AH200" s="36"/>
      <c r="AI200" s="36"/>
      <c r="AJ200" s="36"/>
      <c r="AK200" s="36"/>
      <c r="AL200" s="36"/>
      <c r="AM200" s="36"/>
      <c r="AN200" s="37"/>
      <c r="AO200" s="37"/>
      <c r="AP200" s="37"/>
      <c r="AQ200" s="37"/>
      <c r="AR200" s="37"/>
      <c r="AS200" s="37"/>
      <c r="AT200" s="37"/>
      <c r="AU200" s="37"/>
      <c r="AV200" s="37"/>
      <c r="AW200" s="37"/>
      <c r="AX200" s="37"/>
      <c r="AY200" s="37"/>
      <c r="AZ200" s="37"/>
      <c r="BA200" s="37"/>
      <c r="BB200" s="37"/>
      <c r="BC200" s="37"/>
      <c r="BD200" s="37"/>
      <c r="BE200" s="37"/>
    </row>
    <row r="201" spans="2:59" s="31" customFormat="1" ht="15.5" x14ac:dyDescent="0.3">
      <c r="B201" s="170" t="s">
        <v>509</v>
      </c>
      <c r="C201" s="160" t="s">
        <v>242</v>
      </c>
      <c r="D201" s="34"/>
      <c r="E201" s="34"/>
      <c r="F201" s="34"/>
      <c r="G201" s="34"/>
      <c r="H201" s="59"/>
      <c r="J201" s="173"/>
      <c r="K201" s="173"/>
      <c r="L201" s="173"/>
      <c r="M201" s="41"/>
      <c r="N201" s="41"/>
      <c r="O201" s="265"/>
      <c r="Q201" s="47"/>
      <c r="R201" s="61"/>
      <c r="S201" s="102"/>
      <c r="T201" s="36"/>
      <c r="U201" s="36"/>
      <c r="V201" s="181"/>
      <c r="W201" s="181"/>
      <c r="X201" s="61"/>
      <c r="Y201" s="36"/>
      <c r="Z201" s="61"/>
      <c r="AA201" s="182"/>
      <c r="AB201" s="61"/>
      <c r="AC201" s="61"/>
      <c r="AD201" s="61"/>
      <c r="AE201" s="61"/>
      <c r="AF201" s="182"/>
      <c r="AG201" s="61"/>
      <c r="AH201" s="36"/>
      <c r="AI201" s="36"/>
      <c r="AJ201" s="36"/>
      <c r="AK201" s="108"/>
      <c r="AL201" s="36"/>
      <c r="AM201" s="36"/>
      <c r="AN201" s="37"/>
      <c r="AO201" s="37"/>
      <c r="AP201" s="37"/>
      <c r="AQ201" s="37"/>
      <c r="AR201" s="37"/>
      <c r="AS201" s="37"/>
      <c r="AT201" s="37"/>
      <c r="AU201" s="37"/>
      <c r="AV201" s="37"/>
      <c r="AW201" s="37"/>
      <c r="AX201" s="37"/>
      <c r="AY201" s="37"/>
      <c r="AZ201" s="37"/>
      <c r="BA201" s="37"/>
      <c r="BB201" s="37"/>
      <c r="BC201" s="37"/>
      <c r="BD201" s="37"/>
      <c r="BE201" s="37"/>
    </row>
    <row r="202" spans="2:59" s="31" customFormat="1" ht="15.5" x14ac:dyDescent="0.3">
      <c r="B202" s="54" t="s">
        <v>274</v>
      </c>
      <c r="C202" s="193"/>
      <c r="D202" s="84" t="s">
        <v>51</v>
      </c>
      <c r="G202" s="34"/>
      <c r="H202" s="84"/>
      <c r="J202" s="33"/>
      <c r="K202" s="34"/>
      <c r="L202" s="34"/>
      <c r="M202" s="84"/>
      <c r="N202" s="84"/>
      <c r="O202" s="100"/>
      <c r="Q202" s="35"/>
      <c r="R202" s="36"/>
      <c r="S202" s="36"/>
      <c r="T202" s="36"/>
      <c r="U202" s="108"/>
      <c r="V202" s="36"/>
      <c r="W202" s="36"/>
      <c r="X202" s="36"/>
      <c r="Y202" s="36"/>
      <c r="Z202" s="36"/>
      <c r="AA202" s="36"/>
      <c r="AB202" s="36"/>
      <c r="AC202" s="36"/>
      <c r="AD202" s="36"/>
      <c r="AE202" s="36"/>
      <c r="AF202" s="36"/>
      <c r="AG202" s="36"/>
      <c r="AH202" s="36"/>
      <c r="AI202" s="36"/>
      <c r="AJ202" s="36"/>
      <c r="AK202" s="36"/>
      <c r="AL202" s="36"/>
      <c r="AM202" s="36"/>
      <c r="AN202" s="37"/>
      <c r="AO202" s="37"/>
      <c r="AP202" s="37"/>
      <c r="AQ202" s="37"/>
      <c r="AR202" s="37"/>
      <c r="AS202" s="37"/>
      <c r="AT202" s="37"/>
      <c r="AU202" s="37"/>
      <c r="AV202" s="37"/>
      <c r="AW202" s="37"/>
      <c r="AX202" s="37"/>
      <c r="AY202" s="37"/>
      <c r="AZ202" s="37"/>
      <c r="BA202" s="37"/>
      <c r="BB202" s="37"/>
      <c r="BC202" s="37"/>
      <c r="BD202" s="37"/>
      <c r="BE202" s="37"/>
    </row>
    <row r="203" spans="2:59" s="31" customFormat="1" ht="15.5" x14ac:dyDescent="0.3">
      <c r="B203" s="155" t="s">
        <v>487</v>
      </c>
      <c r="C203" s="34"/>
      <c r="D203" s="84"/>
      <c r="G203" s="34"/>
      <c r="H203" s="84"/>
      <c r="K203" s="38" t="s">
        <v>329</v>
      </c>
      <c r="L203" s="38" t="s">
        <v>201</v>
      </c>
      <c r="M203" s="84"/>
      <c r="N203" s="84"/>
      <c r="O203" s="100"/>
      <c r="Q203" s="35"/>
      <c r="R203" s="36" t="s">
        <v>350</v>
      </c>
      <c r="S203" s="36"/>
      <c r="T203" s="36" t="s">
        <v>275</v>
      </c>
      <c r="U203" s="108"/>
      <c r="V203" s="36"/>
      <c r="W203" s="36"/>
      <c r="X203" s="36"/>
      <c r="Y203" s="36"/>
      <c r="Z203" s="36"/>
      <c r="AA203" s="36"/>
      <c r="AB203" s="36"/>
      <c r="AC203" s="36"/>
      <c r="AD203" s="36"/>
      <c r="AE203" s="36"/>
      <c r="AF203" s="36"/>
      <c r="AG203" s="36"/>
      <c r="AH203" s="36"/>
      <c r="AI203" s="36"/>
      <c r="AJ203" s="36"/>
      <c r="AK203" s="36"/>
      <c r="AL203" s="36"/>
      <c r="AM203" s="36"/>
      <c r="AN203" s="37"/>
      <c r="AO203" s="37"/>
      <c r="AP203" s="37"/>
      <c r="AQ203" s="37"/>
      <c r="AR203" s="37"/>
      <c r="AS203" s="37"/>
      <c r="AT203" s="37"/>
      <c r="AU203" s="37"/>
      <c r="AV203" s="37"/>
      <c r="AW203" s="37"/>
      <c r="AX203" s="37"/>
      <c r="AY203" s="37"/>
      <c r="AZ203" s="37"/>
      <c r="BA203" s="37"/>
      <c r="BB203" s="37"/>
      <c r="BC203" s="37"/>
      <c r="BD203" s="37"/>
      <c r="BE203" s="37"/>
    </row>
    <row r="204" spans="2:59" s="31" customFormat="1" ht="15.5" x14ac:dyDescent="0.3">
      <c r="B204" s="54" t="s">
        <v>510</v>
      </c>
      <c r="C204" s="392" t="s">
        <v>332</v>
      </c>
      <c r="D204" s="393"/>
      <c r="E204" s="393"/>
      <c r="F204" s="393"/>
      <c r="G204" s="394"/>
      <c r="H204" s="84"/>
      <c r="J204" s="33" t="s">
        <v>470</v>
      </c>
      <c r="K204" s="96" t="str">
        <f>IF(ISNUMBER(L204),L204,IF(OR(C204=Pudotusvalikot!$D$67,C204=Pudotusvalikot!$D$68),"--",VLOOKUP(C204,Kalusto!$C$5:$E$42,3,FALSE)*IF(OR(C205=Pudotusvalikot!$V$3,C205=Pudotusvalikot!$V$4),Muut!$E$38,IF(C205=Pudotusvalikot!$V$5,Muut!$E$39,IF(C205=Pudotusvalikot!$V$6,Muut!$E$40,Muut!$E$41)))))</f>
        <v>--</v>
      </c>
      <c r="L204" s="40"/>
      <c r="M204" s="41" t="s">
        <v>205</v>
      </c>
      <c r="N204" s="41"/>
      <c r="O204" s="265"/>
      <c r="Q204" s="35"/>
      <c r="R204" s="50" t="str">
        <f>IF(ISNUMBER(K204*T204),K204*T204,"")</f>
        <v/>
      </c>
      <c r="S204" s="102" t="s">
        <v>172</v>
      </c>
      <c r="T204" s="50" t="str">
        <f>IF(ISNUMBER(C206),C206,"")</f>
        <v/>
      </c>
      <c r="U204" s="108"/>
      <c r="V204" s="61"/>
      <c r="W204" s="36"/>
      <c r="X204" s="36"/>
      <c r="Y204" s="36"/>
      <c r="Z204" s="36"/>
      <c r="AA204" s="36"/>
      <c r="AB204" s="36"/>
      <c r="AC204" s="36"/>
      <c r="AD204" s="36"/>
      <c r="AE204" s="36"/>
      <c r="AF204" s="36"/>
      <c r="AG204" s="36"/>
      <c r="AH204" s="36"/>
      <c r="AI204" s="36"/>
      <c r="AJ204" s="36"/>
      <c r="AK204" s="36"/>
      <c r="AL204" s="36"/>
      <c r="AM204" s="36"/>
      <c r="AN204" s="37"/>
      <c r="AO204" s="37"/>
      <c r="AP204" s="37"/>
      <c r="AQ204" s="37"/>
      <c r="AR204" s="37"/>
      <c r="AS204" s="37"/>
      <c r="AT204" s="37"/>
      <c r="AU204" s="37"/>
      <c r="AV204" s="37"/>
      <c r="AW204" s="37"/>
      <c r="AX204" s="37"/>
      <c r="AY204" s="37"/>
      <c r="AZ204" s="37"/>
      <c r="BA204" s="37"/>
      <c r="BB204" s="37"/>
      <c r="BC204" s="37"/>
      <c r="BD204" s="37"/>
      <c r="BE204" s="37"/>
    </row>
    <row r="205" spans="2:59" s="31" customFormat="1" ht="15.5" x14ac:dyDescent="0.3">
      <c r="B205" s="170" t="s">
        <v>509</v>
      </c>
      <c r="C205" s="160" t="s">
        <v>242</v>
      </c>
      <c r="D205" s="34"/>
      <c r="E205" s="34"/>
      <c r="F205" s="34"/>
      <c r="G205" s="34"/>
      <c r="H205" s="59"/>
      <c r="J205" s="173"/>
      <c r="K205" s="173"/>
      <c r="L205" s="173"/>
      <c r="M205" s="41"/>
      <c r="N205" s="41"/>
      <c r="O205" s="265"/>
      <c r="Q205" s="47"/>
      <c r="R205" s="61"/>
      <c r="S205" s="102"/>
      <c r="T205" s="36"/>
      <c r="U205" s="36"/>
      <c r="V205" s="181"/>
      <c r="W205" s="181"/>
      <c r="X205" s="61"/>
      <c r="Y205" s="36"/>
      <c r="Z205" s="61"/>
      <c r="AA205" s="182"/>
      <c r="AB205" s="61"/>
      <c r="AC205" s="61"/>
      <c r="AD205" s="61"/>
      <c r="AE205" s="61"/>
      <c r="AF205" s="182"/>
      <c r="AG205" s="61"/>
      <c r="AH205" s="36"/>
      <c r="AI205" s="36"/>
      <c r="AJ205" s="36"/>
      <c r="AK205" s="108"/>
      <c r="AL205" s="36"/>
      <c r="AM205" s="36"/>
      <c r="AN205" s="37"/>
      <c r="AO205" s="37"/>
      <c r="AP205" s="37"/>
      <c r="AQ205" s="37"/>
      <c r="AR205" s="37"/>
      <c r="AS205" s="37"/>
      <c r="AT205" s="37"/>
      <c r="AU205" s="37"/>
      <c r="AV205" s="37"/>
      <c r="AW205" s="37"/>
      <c r="AX205" s="37"/>
      <c r="AY205" s="37"/>
      <c r="AZ205" s="37"/>
      <c r="BA205" s="37"/>
      <c r="BB205" s="37"/>
      <c r="BC205" s="37"/>
      <c r="BD205" s="37"/>
      <c r="BE205" s="37"/>
    </row>
    <row r="206" spans="2:59" s="31" customFormat="1" ht="15.5" x14ac:dyDescent="0.3">
      <c r="B206" s="54" t="s">
        <v>274</v>
      </c>
      <c r="C206" s="193"/>
      <c r="D206" s="84" t="s">
        <v>51</v>
      </c>
      <c r="G206" s="34"/>
      <c r="H206" s="84"/>
      <c r="J206" s="33"/>
      <c r="K206" s="34"/>
      <c r="L206" s="34"/>
      <c r="M206" s="84"/>
      <c r="N206" s="84"/>
      <c r="O206" s="100"/>
      <c r="Q206" s="35"/>
      <c r="R206" s="36"/>
      <c r="S206" s="36"/>
      <c r="T206" s="36"/>
      <c r="U206" s="108"/>
      <c r="V206" s="36"/>
      <c r="W206" s="36"/>
      <c r="X206" s="36"/>
      <c r="Y206" s="36"/>
      <c r="Z206" s="36"/>
      <c r="AA206" s="36"/>
      <c r="AB206" s="36"/>
      <c r="AC206" s="36"/>
      <c r="AD206" s="36"/>
      <c r="AE206" s="36"/>
      <c r="AF206" s="36"/>
      <c r="AG206" s="36"/>
      <c r="AH206" s="36"/>
      <c r="AI206" s="36"/>
      <c r="AJ206" s="36"/>
      <c r="AK206" s="36"/>
      <c r="AL206" s="36"/>
      <c r="AM206" s="36"/>
      <c r="AN206" s="37"/>
      <c r="AO206" s="37"/>
      <c r="AP206" s="37"/>
      <c r="AQ206" s="37"/>
      <c r="AR206" s="37"/>
      <c r="AS206" s="37"/>
      <c r="AT206" s="37"/>
      <c r="AU206" s="37"/>
      <c r="AV206" s="37"/>
      <c r="AW206" s="37"/>
      <c r="AX206" s="37"/>
      <c r="AY206" s="37"/>
      <c r="AZ206" s="37"/>
      <c r="BA206" s="37"/>
      <c r="BB206" s="37"/>
      <c r="BC206" s="37"/>
      <c r="BD206" s="37"/>
      <c r="BE206" s="37"/>
    </row>
    <row r="207" spans="2:59" s="31" customFormat="1" ht="15.5" x14ac:dyDescent="0.3">
      <c r="B207" s="54"/>
      <c r="C207" s="54"/>
      <c r="D207" s="54"/>
      <c r="G207" s="34"/>
      <c r="H207" s="84"/>
      <c r="J207" s="33"/>
      <c r="K207" s="34"/>
      <c r="L207" s="34"/>
      <c r="M207" s="84"/>
      <c r="N207" s="84"/>
      <c r="O207" s="100"/>
      <c r="Q207" s="35"/>
      <c r="R207" s="36"/>
      <c r="S207" s="36"/>
      <c r="T207" s="36"/>
      <c r="U207" s="108"/>
      <c r="V207" s="36"/>
      <c r="W207" s="36"/>
      <c r="X207" s="36"/>
      <c r="Y207" s="36"/>
      <c r="Z207" s="36"/>
      <c r="AA207" s="36"/>
      <c r="AB207" s="36"/>
      <c r="AC207" s="36"/>
      <c r="AD207" s="36"/>
      <c r="AE207" s="36"/>
      <c r="AF207" s="36"/>
      <c r="AG207" s="36"/>
      <c r="AH207" s="36"/>
      <c r="AI207" s="36"/>
      <c r="AJ207" s="36"/>
      <c r="AK207" s="36"/>
      <c r="AL207" s="36"/>
      <c r="AM207" s="36"/>
      <c r="AN207" s="37"/>
      <c r="AO207" s="37"/>
      <c r="AP207" s="37"/>
      <c r="AQ207" s="37"/>
      <c r="AR207" s="37"/>
      <c r="AS207" s="37"/>
      <c r="AT207" s="37"/>
      <c r="AU207" s="37"/>
      <c r="AV207" s="37"/>
      <c r="AW207" s="37"/>
      <c r="AX207" s="37"/>
      <c r="AY207" s="37"/>
      <c r="AZ207" s="37"/>
      <c r="BA207" s="37"/>
      <c r="BB207" s="37"/>
      <c r="BC207" s="37"/>
      <c r="BD207" s="37"/>
      <c r="BE207" s="37"/>
    </row>
    <row r="208" spans="2:59" s="31" customFormat="1" ht="15.5" x14ac:dyDescent="0.3">
      <c r="B208" s="294" t="s">
        <v>677</v>
      </c>
      <c r="C208" s="54"/>
      <c r="D208" s="54"/>
      <c r="G208" s="34"/>
      <c r="H208" s="84"/>
      <c r="J208" s="33"/>
      <c r="K208" s="34"/>
      <c r="L208" s="34"/>
      <c r="M208" s="84"/>
      <c r="N208" s="84"/>
      <c r="O208" s="100"/>
      <c r="Q208" s="35"/>
      <c r="R208" s="36"/>
      <c r="S208" s="36"/>
      <c r="T208" s="36"/>
      <c r="U208" s="108"/>
      <c r="V208" s="36"/>
      <c r="W208" s="36"/>
      <c r="X208" s="36"/>
      <c r="Y208" s="36"/>
      <c r="Z208" s="36"/>
      <c r="AA208" s="36"/>
      <c r="AB208" s="36"/>
      <c r="AC208" s="36"/>
      <c r="AD208" s="36"/>
      <c r="AE208" s="36"/>
      <c r="AF208" s="36"/>
      <c r="AG208" s="36"/>
      <c r="AH208" s="36"/>
      <c r="AI208" s="36"/>
      <c r="AJ208" s="36"/>
      <c r="AK208" s="36"/>
      <c r="AL208" s="36"/>
      <c r="AM208" s="36"/>
      <c r="AN208" s="37"/>
      <c r="AO208" s="37"/>
      <c r="AP208" s="37"/>
      <c r="AQ208" s="37"/>
      <c r="AR208" s="37"/>
      <c r="AS208" s="37"/>
      <c r="AT208" s="37"/>
      <c r="AU208" s="37"/>
      <c r="AV208" s="37"/>
      <c r="AW208" s="37"/>
      <c r="AX208" s="37"/>
      <c r="AY208" s="37"/>
      <c r="AZ208" s="37"/>
      <c r="BA208" s="37"/>
      <c r="BB208" s="37"/>
      <c r="BC208" s="37"/>
      <c r="BD208" s="37"/>
      <c r="BE208" s="37"/>
    </row>
    <row r="209" spans="2:59" s="31" customFormat="1" ht="15.5" x14ac:dyDescent="0.3">
      <c r="B209" s="54"/>
      <c r="C209" s="34"/>
      <c r="D209" s="34"/>
      <c r="E209" s="59"/>
      <c r="G209" s="34"/>
      <c r="H209" s="84"/>
      <c r="J209" s="33"/>
      <c r="K209" s="34"/>
      <c r="L209" s="34"/>
      <c r="M209" s="84"/>
      <c r="N209" s="84"/>
      <c r="O209" s="84"/>
      <c r="Q209" s="35"/>
      <c r="R209" s="99"/>
      <c r="S209" s="36"/>
      <c r="T209" s="36"/>
      <c r="U209" s="36"/>
      <c r="V209" s="36"/>
      <c r="W209" s="36"/>
      <c r="X209" s="36"/>
      <c r="Y209" s="36"/>
      <c r="Z209" s="36"/>
      <c r="AA209" s="36"/>
      <c r="AB209" s="36"/>
      <c r="AC209" s="36"/>
      <c r="AD209" s="36"/>
      <c r="AE209" s="36"/>
      <c r="AF209" s="36"/>
      <c r="AG209" s="36"/>
      <c r="AH209" s="36"/>
      <c r="AI209" s="36"/>
      <c r="AJ209" s="36"/>
      <c r="AK209" s="36"/>
      <c r="AL209" s="36"/>
      <c r="AM209" s="36"/>
      <c r="AN209" s="37"/>
      <c r="AO209" s="37"/>
      <c r="AP209" s="37"/>
      <c r="AQ209" s="37"/>
      <c r="AR209" s="37"/>
      <c r="AS209" s="37"/>
      <c r="AT209" s="37"/>
      <c r="AU209" s="37"/>
      <c r="AV209" s="37"/>
      <c r="AW209" s="37"/>
      <c r="AX209" s="37"/>
      <c r="AY209" s="37"/>
      <c r="AZ209" s="37"/>
      <c r="BA209" s="37"/>
      <c r="BB209" s="37"/>
      <c r="BC209" s="37"/>
      <c r="BD209" s="37"/>
      <c r="BE209" s="37"/>
    </row>
    <row r="210" spans="2:59" s="298" customFormat="1" ht="18" x14ac:dyDescent="0.3">
      <c r="B210" s="295" t="s">
        <v>42</v>
      </c>
      <c r="C210" s="296"/>
      <c r="D210" s="297"/>
      <c r="G210" s="296"/>
      <c r="H210" s="297"/>
      <c r="K210" s="296"/>
      <c r="L210" s="296"/>
      <c r="M210" s="297"/>
      <c r="N210" s="297"/>
      <c r="O210" s="300"/>
      <c r="P210" s="320"/>
      <c r="Q210" s="304"/>
      <c r="R210" s="298" t="str">
        <f>IF(OR(ISNUMBER(#REF!),ISNUMBER(#REF!),ISNUMBER(#REF!)),SUM(#REF!,#REF!,#REF!),"")</f>
        <v/>
      </c>
      <c r="S210" s="303"/>
      <c r="T210" s="303"/>
      <c r="U210" s="303"/>
      <c r="V210" s="303"/>
      <c r="W210" s="303"/>
      <c r="X210" s="303"/>
      <c r="Y210" s="303"/>
      <c r="Z210" s="303"/>
      <c r="AA210" s="303"/>
      <c r="AB210" s="303"/>
      <c r="AC210" s="303"/>
      <c r="AD210" s="303"/>
      <c r="AE210" s="303"/>
      <c r="AF210" s="303"/>
      <c r="AG210" s="303"/>
      <c r="AH210" s="303"/>
      <c r="AI210" s="303"/>
      <c r="AJ210" s="303"/>
      <c r="AK210" s="303"/>
      <c r="AL210" s="303"/>
      <c r="AM210" s="303"/>
      <c r="AN210" s="304"/>
      <c r="AO210" s="304"/>
      <c r="AP210" s="304"/>
      <c r="AQ210" s="304"/>
      <c r="AR210" s="304"/>
      <c r="AS210" s="304"/>
      <c r="AT210" s="304"/>
      <c r="AU210" s="304"/>
      <c r="AV210" s="304"/>
      <c r="AW210" s="304"/>
      <c r="AX210" s="304"/>
      <c r="AY210" s="304"/>
      <c r="AZ210" s="304"/>
      <c r="BA210" s="304"/>
      <c r="BB210" s="304"/>
      <c r="BC210" s="304"/>
      <c r="BD210" s="304"/>
      <c r="BE210" s="304"/>
    </row>
    <row r="211" spans="2:59" s="31" customFormat="1" ht="15.5" x14ac:dyDescent="0.3">
      <c r="B211" s="9"/>
      <c r="C211" s="34"/>
      <c r="D211" s="84"/>
      <c r="G211" s="34" t="s">
        <v>43</v>
      </c>
      <c r="H211" s="84"/>
      <c r="K211" s="38" t="s">
        <v>329</v>
      </c>
      <c r="L211" s="38" t="s">
        <v>201</v>
      </c>
      <c r="M211" s="84"/>
      <c r="N211" s="84"/>
      <c r="O211" s="255" t="s">
        <v>644</v>
      </c>
      <c r="Q211" s="35"/>
      <c r="R211" s="36" t="s">
        <v>350</v>
      </c>
      <c r="S211" s="36"/>
      <c r="T211" s="36" t="s">
        <v>267</v>
      </c>
      <c r="U211" s="36" t="s">
        <v>268</v>
      </c>
      <c r="V211" s="36" t="s">
        <v>269</v>
      </c>
      <c r="W211" s="36" t="s">
        <v>272</v>
      </c>
      <c r="X211" s="36" t="s">
        <v>270</v>
      </c>
      <c r="Y211" s="36" t="s">
        <v>271</v>
      </c>
      <c r="Z211" s="36" t="s">
        <v>273</v>
      </c>
      <c r="AA211" s="108"/>
      <c r="AB211" s="36"/>
      <c r="AC211" s="36"/>
      <c r="AD211" s="36"/>
      <c r="AE211" s="36"/>
      <c r="AF211" s="36"/>
      <c r="AG211" s="36"/>
      <c r="AH211" s="36"/>
      <c r="AI211" s="36"/>
      <c r="AJ211" s="36"/>
      <c r="AK211" s="36"/>
      <c r="AL211" s="36"/>
      <c r="AM211" s="36"/>
      <c r="AN211" s="37"/>
      <c r="AO211" s="37"/>
      <c r="AP211" s="37"/>
      <c r="AQ211" s="37"/>
      <c r="AR211" s="37"/>
      <c r="AS211" s="37"/>
      <c r="AT211" s="37"/>
      <c r="AU211" s="37"/>
      <c r="AV211" s="37"/>
      <c r="AW211" s="37"/>
      <c r="AX211" s="37"/>
      <c r="AY211" s="37"/>
      <c r="AZ211" s="37"/>
      <c r="BA211" s="37"/>
      <c r="BB211" s="37"/>
      <c r="BC211" s="37"/>
      <c r="BD211" s="37"/>
      <c r="BE211" s="37"/>
    </row>
    <row r="212" spans="2:59" s="31" customFormat="1" ht="15.5" x14ac:dyDescent="0.3">
      <c r="B212" s="54" t="s">
        <v>582</v>
      </c>
      <c r="C212" s="160"/>
      <c r="D212" s="84" t="s">
        <v>234</v>
      </c>
      <c r="G212" s="160"/>
      <c r="H212" s="84" t="s">
        <v>44</v>
      </c>
      <c r="J212" s="33" t="s">
        <v>566</v>
      </c>
      <c r="K212" s="112">
        <f>IF(ISNUMBER(L212),L212,IF(C216=Pudotusvalikot!$J$4,Kalusto!$E$98,IF(C216=Pudotusvalikot!$J$5,Kalusto!$E$99,IF(C216=Pudotusvalikot!$J$6,Kalusto!$E$100,IF(C216=Pudotusvalikot!$J$7,Kalusto!$E$101,IF(C216=Pudotusvalikot!$J$8,Kalusto!$E$102,IF(C216=Pudotusvalikot!$J$9,Kalusto!$E$103,IF(C216=Pudotusvalikot!$J$11,Kalusto!$E$104,Kalusto!$E$98))))))))</f>
        <v>5.5</v>
      </c>
      <c r="L212" s="63"/>
      <c r="M212" s="77" t="str">
        <f>IF(C216=Pudotusvalikot!$J$9,"kWh/100 km",IF(C216=Pudotusvalikot!$J$6,"kg/100 km","l/100 km"))</f>
        <v>l/100 km</v>
      </c>
      <c r="N212" s="77"/>
      <c r="O212" s="256"/>
      <c r="Q212" s="35"/>
      <c r="R212" s="109">
        <f>SUM(U212:Z212)</f>
        <v>0</v>
      </c>
      <c r="S212" s="102" t="s">
        <v>172</v>
      </c>
      <c r="T212" s="48">
        <f>IF(ISNUMBER(C213*C212*G212),C213*C212*G212,"")</f>
        <v>0</v>
      </c>
      <c r="U212" s="50">
        <f>IF(ISNUMBER(T212),IF(C216=Pudotusvalikot!$J$5,(Muut!$H$15+Muut!$H$18)*(T212*K212/100),0),"")</f>
        <v>0</v>
      </c>
      <c r="V212" s="50">
        <f>IF(ISNUMBER(T212),IF(C216=Pudotusvalikot!$J$4,(Muut!$H$14+Muut!$H$17)*(T212*K212/100),0),"")</f>
        <v>0</v>
      </c>
      <c r="W212" s="50">
        <f>IF(ISNUMBER(T212),IF(C216=Pudotusvalikot!$J$6,(Muut!$H$16+Muut!$H$19)*(T212*K212/100),0),"")</f>
        <v>0</v>
      </c>
      <c r="X212" s="50">
        <f>IF(ISNUMBER(T212),IF(C216=Pudotusvalikot!$J$7,((Muut!$H$15+Muut!$H$18)*(100%-Kalusto!$O$101)+(Muut!$H$14+Muut!$H$17)*Kalusto!$O$101)*(T212*K212/100),0),"")</f>
        <v>0</v>
      </c>
      <c r="Y212" s="74">
        <f>IF(ISNUMBER(T212),IF(C216=Pudotusvalikot!$J$8,((Kalusto!$K$102)*(100%-Kalusto!$O$102)+(Kalusto!$M$102)*Kalusto!$O$102)*(Muut!$H$13+Muut!$H$12)/100*T212/1000+((Kalusto!$G$102)*(100%-Kalusto!$O$102)+(Kalusto!$I$102)*Kalusto!$O$102)*(K212+Muut!$H$18)/100*T212,0),"")</f>
        <v>0</v>
      </c>
      <c r="Z212" s="74">
        <f>IF(ISNUMBER(T212),IF(C216=Pudotusvalikot!$J$9,Kalusto!$E$103*(K212+Muut!$H$12)/100*T212/1000,0),"")</f>
        <v>0</v>
      </c>
      <c r="AA212" s="108"/>
      <c r="AB212" s="36"/>
      <c r="AC212" s="36"/>
      <c r="AD212" s="36"/>
      <c r="AE212" s="36"/>
      <c r="AF212" s="36"/>
      <c r="AG212" s="36"/>
      <c r="AH212" s="36"/>
      <c r="AI212" s="36"/>
      <c r="AJ212" s="36"/>
      <c r="AK212" s="36"/>
      <c r="AL212" s="36"/>
      <c r="AM212" s="36"/>
      <c r="AN212" s="37"/>
      <c r="AO212" s="37"/>
      <c r="AP212" s="37"/>
      <c r="AQ212" s="37"/>
      <c r="AR212" s="37"/>
      <c r="AS212" s="37"/>
      <c r="AT212" s="37"/>
      <c r="AU212" s="37"/>
      <c r="AV212" s="37"/>
      <c r="AW212" s="37"/>
      <c r="AX212" s="37"/>
      <c r="AY212" s="37"/>
      <c r="AZ212" s="37"/>
      <c r="BA212" s="37"/>
      <c r="BB212" s="37"/>
      <c r="BC212" s="37"/>
      <c r="BD212" s="37"/>
      <c r="BE212" s="37"/>
    </row>
    <row r="213" spans="2:59" s="31" customFormat="1" ht="15.5" x14ac:dyDescent="0.3">
      <c r="B213" s="45" t="s">
        <v>581</v>
      </c>
      <c r="C213" s="160"/>
      <c r="D213" s="84" t="s">
        <v>5</v>
      </c>
      <c r="G213" s="34"/>
      <c r="H213" s="84"/>
      <c r="K213" s="134"/>
      <c r="L213" s="38"/>
      <c r="M213" s="84"/>
      <c r="N213" s="84"/>
      <c r="O213" s="100"/>
      <c r="Q213" s="35"/>
      <c r="R213" s="36" t="s">
        <v>350</v>
      </c>
      <c r="S213" s="36"/>
      <c r="T213" s="36" t="s">
        <v>267</v>
      </c>
      <c r="U213" s="36" t="s">
        <v>268</v>
      </c>
      <c r="V213" s="36" t="s">
        <v>269</v>
      </c>
      <c r="W213" s="36" t="s">
        <v>272</v>
      </c>
      <c r="X213" s="36" t="s">
        <v>270</v>
      </c>
      <c r="Y213" s="36" t="s">
        <v>271</v>
      </c>
      <c r="Z213" s="36" t="s">
        <v>273</v>
      </c>
      <c r="AA213" s="108"/>
      <c r="AB213" s="36"/>
      <c r="AC213" s="36"/>
      <c r="AD213" s="36"/>
      <c r="AE213" s="36"/>
      <c r="AF213" s="36"/>
      <c r="AG213" s="36"/>
      <c r="AH213" s="36"/>
      <c r="AI213" s="36"/>
      <c r="AJ213" s="36"/>
      <c r="AK213" s="36"/>
      <c r="AL213" s="36"/>
      <c r="AM213" s="36"/>
      <c r="AN213" s="37"/>
      <c r="AO213" s="37"/>
      <c r="AP213" s="37"/>
      <c r="AQ213" s="37"/>
      <c r="AR213" s="37"/>
      <c r="AS213" s="37"/>
      <c r="AT213" s="37"/>
      <c r="AU213" s="37"/>
      <c r="AV213" s="37"/>
      <c r="AW213" s="37"/>
      <c r="AX213" s="37"/>
      <c r="AY213" s="37"/>
      <c r="AZ213" s="37"/>
      <c r="BA213" s="37"/>
      <c r="BB213" s="37"/>
      <c r="BC213" s="37"/>
      <c r="BD213" s="37"/>
      <c r="BE213" s="37"/>
    </row>
    <row r="214" spans="2:59" s="31" customFormat="1" ht="31" x14ac:dyDescent="0.3">
      <c r="B214" s="78" t="s">
        <v>580</v>
      </c>
      <c r="C214" s="160"/>
      <c r="D214" s="84" t="s">
        <v>235</v>
      </c>
      <c r="G214" s="160"/>
      <c r="H214" s="84" t="s">
        <v>44</v>
      </c>
      <c r="J214" s="33" t="s">
        <v>566</v>
      </c>
      <c r="K214" s="112">
        <f>IF(ISNUMBER(L214),L214,IF(C216=Pudotusvalikot!$J$4,Kalusto!$E$98,IF(C216=Pudotusvalikot!$J$5,Kalusto!$E$99,IF(C216=Pudotusvalikot!$J$6,Kalusto!$E$100,IF(C216=Pudotusvalikot!$J$7,Kalusto!$E$101,IF(C216=Pudotusvalikot!$J$8,Kalusto!$E$102,IF(C216=Pudotusvalikot!$J$9,Kalusto!$E$103,IF(C216=Pudotusvalikot!$J$11,Kalusto!$E$104,Kalusto!$E$98))))))))</f>
        <v>5.5</v>
      </c>
      <c r="L214" s="63"/>
      <c r="M214" s="77" t="str">
        <f>IF(C216=Pudotusvalikot!$J$9,"kWh/100 km",IF(C216=Pudotusvalikot!$J$6,"kg/100 km","l/100 km"))</f>
        <v>l/100 km</v>
      </c>
      <c r="N214" s="77"/>
      <c r="O214" s="269"/>
      <c r="Q214" s="35"/>
      <c r="R214" s="109">
        <f>SUM(U214:Z214)</f>
        <v>0</v>
      </c>
      <c r="S214" s="102" t="s">
        <v>172</v>
      </c>
      <c r="T214" s="48">
        <f>IF(ISNUMBER(C215*C214*50*G214),C215*C214*50*G214,"")</f>
        <v>0</v>
      </c>
      <c r="U214" s="50">
        <f>IF(ISNUMBER(T214),IF(C216=Pudotusvalikot!$J$5,(Muut!$H$15+Muut!$H$18)*(T214*K214/100),0),"")</f>
        <v>0</v>
      </c>
      <c r="V214" s="50">
        <f>IF(ISNUMBER(T214),IF(C216=Pudotusvalikot!$J$4,(Muut!$H$14+Muut!$H$17)*(T214*K214/100),0),"")</f>
        <v>0</v>
      </c>
      <c r="W214" s="50">
        <f>IF(ISNUMBER(T214),IF(C216=Pudotusvalikot!$J$6,(Muut!$H$16+Muut!$H$19)*(T214*K214/100),0),"")</f>
        <v>0</v>
      </c>
      <c r="X214" s="50">
        <f>IF(ISNUMBER(T214),IF(C216=Pudotusvalikot!$J$7,((Muut!$H$15+Muut!$H$18)*(100%-Kalusto!$O$101)+(Muut!$H$14+Muut!$H$17)*Kalusto!$O$101)*(T214*K214/100),0),"")</f>
        <v>0</v>
      </c>
      <c r="Y214" s="74">
        <f>IF(ISNUMBER(T214),IF(C216=Pudotusvalikot!$J$8,((Kalusto!$K$102)*(100%-Kalusto!$O$102)+(Kalusto!$M$102)*Kalusto!$O$102)*(Muut!$H$13+Muut!$H$12)/100*T214/1000+((Kalusto!$G$102)*(100%-Kalusto!$O$102)+(Kalusto!$I$102)*Kalusto!$O$102)*(K214+Muut!$H$18)/100*T214,0),"")</f>
        <v>0</v>
      </c>
      <c r="Z214" s="74">
        <f>IF(ISNUMBER(T214),IF(C216=Pudotusvalikot!$J$9,Kalusto!$E$103*(K214+Muut!$H$12)/100*T214/1000,0),"")</f>
        <v>0</v>
      </c>
      <c r="AA214" s="108"/>
      <c r="AB214" s="36"/>
      <c r="AC214" s="36"/>
      <c r="AD214" s="36"/>
      <c r="AE214" s="36"/>
      <c r="AF214" s="36"/>
      <c r="AG214" s="36"/>
      <c r="AH214" s="36"/>
      <c r="AI214" s="36"/>
      <c r="AJ214" s="36"/>
      <c r="AK214" s="36"/>
      <c r="AL214" s="36"/>
      <c r="AM214" s="36"/>
      <c r="AN214" s="37"/>
      <c r="AO214" s="37"/>
      <c r="AP214" s="37"/>
      <c r="AQ214" s="37"/>
      <c r="AR214" s="37"/>
      <c r="AS214" s="37"/>
      <c r="AT214" s="37"/>
      <c r="AU214" s="37"/>
      <c r="AV214" s="37"/>
      <c r="AW214" s="37"/>
      <c r="AX214" s="37"/>
      <c r="AY214" s="37"/>
      <c r="AZ214" s="37"/>
      <c r="BA214" s="37"/>
      <c r="BB214" s="37"/>
      <c r="BC214" s="37"/>
      <c r="BD214" s="37"/>
      <c r="BE214" s="37"/>
    </row>
    <row r="215" spans="2:59" s="31" customFormat="1" ht="15.5" x14ac:dyDescent="0.3">
      <c r="B215" s="45" t="s">
        <v>579</v>
      </c>
      <c r="C215" s="160"/>
      <c r="D215" s="84" t="s">
        <v>5</v>
      </c>
      <c r="G215" s="34"/>
      <c r="H215" s="84"/>
      <c r="K215" s="134"/>
      <c r="L215" s="38"/>
      <c r="M215" s="84"/>
      <c r="N215" s="84"/>
      <c r="O215" s="100"/>
      <c r="Q215" s="35"/>
      <c r="R215" s="36"/>
      <c r="S215" s="36"/>
      <c r="T215" s="36"/>
      <c r="U215" s="36"/>
      <c r="V215" s="36"/>
      <c r="W215" s="36"/>
      <c r="X215" s="36"/>
      <c r="Y215" s="36"/>
      <c r="Z215" s="36"/>
      <c r="AA215" s="108"/>
      <c r="AB215" s="36"/>
      <c r="AC215" s="36"/>
      <c r="AD215" s="36"/>
      <c r="AE215" s="36"/>
      <c r="AF215" s="36"/>
      <c r="AG215" s="36"/>
      <c r="AH215" s="36"/>
      <c r="AI215" s="36"/>
      <c r="AJ215" s="36"/>
      <c r="AK215" s="36"/>
      <c r="AL215" s="36"/>
      <c r="AM215" s="36"/>
      <c r="AN215" s="37"/>
      <c r="AO215" s="37"/>
      <c r="AP215" s="37"/>
      <c r="AQ215" s="37"/>
      <c r="AR215" s="37"/>
      <c r="AS215" s="37"/>
      <c r="AT215" s="37"/>
      <c r="AU215" s="37"/>
      <c r="AV215" s="37"/>
      <c r="AW215" s="37"/>
      <c r="AX215" s="37"/>
      <c r="AY215" s="37"/>
      <c r="AZ215" s="37"/>
      <c r="BA215" s="37"/>
      <c r="BB215" s="37"/>
      <c r="BC215" s="37"/>
      <c r="BD215" s="37"/>
      <c r="BE215" s="37"/>
    </row>
    <row r="216" spans="2:59" s="31" customFormat="1" ht="15.5" x14ac:dyDescent="0.3">
      <c r="B216" s="54" t="s">
        <v>576</v>
      </c>
      <c r="C216" s="399" t="s">
        <v>242</v>
      </c>
      <c r="D216" s="399"/>
      <c r="G216" s="34"/>
      <c r="H216" s="84"/>
      <c r="J216" s="33"/>
      <c r="K216" s="34"/>
      <c r="L216" s="34"/>
      <c r="M216" s="84"/>
      <c r="N216" s="84"/>
      <c r="O216" s="100"/>
      <c r="Q216" s="35"/>
      <c r="R216" s="99"/>
      <c r="S216" s="36"/>
      <c r="T216" s="36"/>
      <c r="U216" s="36"/>
      <c r="V216" s="36"/>
      <c r="W216" s="36"/>
      <c r="X216" s="36"/>
      <c r="Y216" s="36"/>
      <c r="Z216" s="36"/>
      <c r="AA216" s="36"/>
      <c r="AB216" s="36"/>
      <c r="AC216" s="36"/>
      <c r="AD216" s="36"/>
      <c r="AE216" s="36"/>
      <c r="AF216" s="36"/>
      <c r="AG216" s="36"/>
      <c r="AH216" s="36"/>
      <c r="AI216" s="36"/>
      <c r="AJ216" s="36"/>
      <c r="AK216" s="36"/>
      <c r="AL216" s="36"/>
      <c r="AM216" s="36"/>
      <c r="AN216" s="37"/>
      <c r="AO216" s="37"/>
      <c r="AP216" s="37"/>
      <c r="AQ216" s="37"/>
      <c r="AR216" s="37"/>
      <c r="AS216" s="37"/>
      <c r="AT216" s="37"/>
      <c r="AU216" s="37"/>
      <c r="AV216" s="37"/>
      <c r="AW216" s="37"/>
      <c r="AX216" s="37"/>
      <c r="AY216" s="37"/>
      <c r="AZ216" s="37"/>
      <c r="BA216" s="37"/>
      <c r="BB216" s="37"/>
      <c r="BC216" s="37"/>
      <c r="BD216" s="37"/>
      <c r="BE216" s="37"/>
    </row>
    <row r="217" spans="2:59" s="31" customFormat="1" ht="15.5" x14ac:dyDescent="0.3">
      <c r="B217" s="54"/>
      <c r="C217" s="34"/>
      <c r="D217" s="34"/>
      <c r="E217" s="59"/>
      <c r="G217" s="34"/>
      <c r="H217" s="84"/>
      <c r="J217" s="33"/>
      <c r="K217" s="34"/>
      <c r="L217" s="34"/>
      <c r="M217" s="84"/>
      <c r="N217" s="84"/>
      <c r="O217" s="100"/>
      <c r="Q217" s="35"/>
      <c r="R217" s="99"/>
      <c r="S217" s="36"/>
      <c r="T217" s="36"/>
      <c r="U217" s="36"/>
      <c r="V217" s="36"/>
      <c r="W217" s="36"/>
      <c r="X217" s="36"/>
      <c r="Y217" s="36"/>
      <c r="Z217" s="36"/>
      <c r="AA217" s="36"/>
      <c r="AB217" s="36"/>
      <c r="AC217" s="36"/>
      <c r="AD217" s="36"/>
      <c r="AE217" s="36"/>
      <c r="AF217" s="36"/>
      <c r="AG217" s="36"/>
      <c r="AH217" s="36"/>
      <c r="AI217" s="36"/>
      <c r="AJ217" s="36"/>
      <c r="AK217" s="36"/>
      <c r="AL217" s="36"/>
      <c r="AM217" s="36"/>
      <c r="AN217" s="37"/>
      <c r="AO217" s="37"/>
      <c r="AP217" s="37"/>
      <c r="AQ217" s="37"/>
      <c r="AR217" s="37"/>
      <c r="AS217" s="37"/>
      <c r="AT217" s="37"/>
      <c r="AU217" s="37"/>
      <c r="AV217" s="37"/>
      <c r="AW217" s="37"/>
      <c r="AX217" s="37"/>
      <c r="AY217" s="37"/>
      <c r="AZ217" s="37"/>
      <c r="BA217" s="37"/>
      <c r="BB217" s="37"/>
      <c r="BC217" s="37"/>
      <c r="BD217" s="37"/>
      <c r="BE217" s="37"/>
    </row>
    <row r="218" spans="2:59" s="196" customFormat="1" ht="23" x14ac:dyDescent="0.3">
      <c r="B218" s="197" t="s">
        <v>322</v>
      </c>
      <c r="C218" s="198"/>
      <c r="D218" s="199"/>
      <c r="G218" s="198"/>
      <c r="H218" s="199"/>
      <c r="J218" s="200"/>
      <c r="O218" s="270"/>
      <c r="P218" s="201"/>
      <c r="Q218" s="202"/>
      <c r="R218" s="203"/>
      <c r="S218" s="202"/>
      <c r="T218" s="204"/>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4"/>
      <c r="AQ218" s="204"/>
      <c r="AR218" s="204"/>
      <c r="AS218" s="204"/>
      <c r="AT218" s="204"/>
      <c r="AU218" s="204"/>
      <c r="AV218" s="204"/>
      <c r="AW218" s="204"/>
      <c r="AX218" s="204"/>
      <c r="AY218" s="204"/>
      <c r="AZ218" s="204"/>
      <c r="BA218" s="204"/>
      <c r="BB218" s="204"/>
      <c r="BC218" s="204"/>
      <c r="BD218" s="204"/>
      <c r="BE218" s="204"/>
      <c r="BF218" s="204"/>
      <c r="BG218" s="204"/>
    </row>
    <row r="219" spans="2:59" s="31" customFormat="1" ht="15.5" x14ac:dyDescent="0.3">
      <c r="B219" s="9"/>
      <c r="C219" s="34"/>
      <c r="D219" s="84"/>
      <c r="G219" s="34"/>
      <c r="H219" s="84"/>
      <c r="K219" s="34"/>
      <c r="L219" s="34"/>
      <c r="M219" s="84"/>
      <c r="N219" s="84"/>
      <c r="O219" s="84"/>
      <c r="Q219" s="35"/>
      <c r="R219" s="99"/>
      <c r="S219" s="36"/>
      <c r="T219" s="36"/>
      <c r="U219" s="36"/>
      <c r="V219" s="36"/>
      <c r="W219" s="36"/>
      <c r="X219" s="36"/>
      <c r="Y219" s="36"/>
      <c r="Z219" s="36"/>
      <c r="AA219" s="36"/>
      <c r="AB219" s="36"/>
      <c r="AC219" s="36"/>
      <c r="AD219" s="36"/>
      <c r="AE219" s="36"/>
      <c r="AF219" s="36"/>
      <c r="AG219" s="36"/>
      <c r="AH219" s="36"/>
      <c r="AI219" s="36"/>
      <c r="AJ219" s="36"/>
      <c r="AK219" s="36"/>
      <c r="AL219" s="36"/>
      <c r="AM219" s="36"/>
      <c r="AN219" s="37"/>
      <c r="AO219" s="37"/>
      <c r="AP219" s="37"/>
      <c r="AQ219" s="37"/>
      <c r="AR219" s="37"/>
      <c r="AS219" s="37"/>
      <c r="AT219" s="37"/>
      <c r="AU219" s="37"/>
      <c r="AV219" s="37"/>
      <c r="AW219" s="37"/>
      <c r="AX219" s="37"/>
      <c r="AY219" s="37"/>
      <c r="AZ219" s="37"/>
      <c r="BA219" s="37"/>
      <c r="BB219" s="37"/>
      <c r="BC219" s="37"/>
      <c r="BD219" s="37"/>
      <c r="BE219" s="37"/>
    </row>
    <row r="220" spans="2:59" s="298" customFormat="1" ht="18" x14ac:dyDescent="0.3">
      <c r="B220" s="295" t="s">
        <v>486</v>
      </c>
      <c r="C220" s="296"/>
      <c r="D220" s="297"/>
      <c r="G220" s="296"/>
      <c r="H220" s="297"/>
      <c r="K220" s="296"/>
      <c r="L220" s="296"/>
      <c r="M220" s="297"/>
      <c r="N220" s="297"/>
      <c r="O220" s="300"/>
      <c r="P220" s="320"/>
      <c r="Q220" s="304"/>
      <c r="R220" s="298" t="str">
        <f>IF(OR(ISNUMBER(#REF!),ISNUMBER(#REF!),ISNUMBER(#REF!)),SUM(#REF!,#REF!,#REF!),"")</f>
        <v/>
      </c>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AN220" s="304"/>
      <c r="AO220" s="304"/>
      <c r="AP220" s="304"/>
      <c r="AQ220" s="304"/>
      <c r="AR220" s="304"/>
      <c r="AS220" s="304"/>
      <c r="AT220" s="304"/>
      <c r="AU220" s="304"/>
      <c r="AV220" s="304"/>
      <c r="AW220" s="304"/>
      <c r="AX220" s="304"/>
      <c r="AY220" s="304"/>
      <c r="AZ220" s="304"/>
      <c r="BA220" s="304"/>
      <c r="BB220" s="304"/>
      <c r="BC220" s="304"/>
      <c r="BD220" s="304"/>
      <c r="BE220" s="304"/>
    </row>
    <row r="221" spans="2:59" s="31" customFormat="1" ht="15.5" x14ac:dyDescent="0.3">
      <c r="B221" s="9"/>
      <c r="C221" s="34"/>
      <c r="D221" s="84"/>
      <c r="G221" s="34"/>
      <c r="H221" s="84"/>
      <c r="K221" s="34"/>
      <c r="L221" s="34"/>
      <c r="M221" s="84"/>
      <c r="N221" s="84"/>
      <c r="O221" s="84"/>
      <c r="Q221" s="35"/>
      <c r="R221" s="99"/>
      <c r="S221" s="36"/>
      <c r="T221" s="36"/>
      <c r="U221" s="36"/>
      <c r="V221" s="36"/>
      <c r="W221" s="36"/>
      <c r="X221" s="36"/>
      <c r="Y221" s="36"/>
      <c r="Z221" s="36"/>
      <c r="AA221" s="36"/>
      <c r="AB221" s="36"/>
      <c r="AC221" s="36"/>
      <c r="AD221" s="36"/>
      <c r="AE221" s="36"/>
      <c r="AF221" s="36"/>
      <c r="AG221" s="36"/>
      <c r="AH221" s="36"/>
      <c r="AI221" s="36"/>
      <c r="AJ221" s="36"/>
      <c r="AK221" s="36"/>
      <c r="AL221" s="36"/>
      <c r="AM221" s="36"/>
      <c r="AN221" s="37"/>
      <c r="AO221" s="37"/>
      <c r="AP221" s="37"/>
      <c r="AQ221" s="37"/>
      <c r="AR221" s="37"/>
      <c r="AS221" s="37"/>
      <c r="AT221" s="37"/>
      <c r="AU221" s="37"/>
      <c r="AV221" s="37"/>
      <c r="AW221" s="37"/>
      <c r="AX221" s="37"/>
      <c r="AY221" s="37"/>
      <c r="AZ221" s="37"/>
      <c r="BA221" s="37"/>
      <c r="BB221" s="37"/>
      <c r="BC221" s="37"/>
      <c r="BD221" s="37"/>
      <c r="BE221" s="37"/>
      <c r="BF221" s="108"/>
      <c r="BG221" s="108"/>
    </row>
    <row r="222" spans="2:59" s="298" customFormat="1" ht="18" x14ac:dyDescent="0.3">
      <c r="B222" s="295" t="s">
        <v>55</v>
      </c>
      <c r="C222" s="296"/>
      <c r="D222" s="297"/>
      <c r="G222" s="296"/>
      <c r="H222" s="297"/>
      <c r="K222" s="296"/>
      <c r="L222" s="296"/>
      <c r="M222" s="297"/>
      <c r="N222" s="297"/>
      <c r="O222" s="300"/>
      <c r="P222" s="320"/>
      <c r="Q222" s="304"/>
      <c r="R222" s="298" t="str">
        <f>IF(OR(ISNUMBER(#REF!),ISNUMBER(#REF!),ISNUMBER(#REF!)),SUM(#REF!,#REF!,#REF!),"")</f>
        <v/>
      </c>
      <c r="S222" s="303"/>
      <c r="T222" s="303"/>
      <c r="U222" s="303"/>
      <c r="V222" s="303"/>
      <c r="W222" s="303"/>
      <c r="X222" s="303"/>
      <c r="Y222" s="303"/>
      <c r="Z222" s="303"/>
      <c r="AA222" s="303"/>
      <c r="AB222" s="303"/>
      <c r="AC222" s="303"/>
      <c r="AD222" s="303"/>
      <c r="AE222" s="303"/>
      <c r="AF222" s="303"/>
      <c r="AG222" s="303"/>
      <c r="AH222" s="303"/>
      <c r="AI222" s="303"/>
      <c r="AJ222" s="303"/>
      <c r="AK222" s="303"/>
      <c r="AL222" s="303"/>
      <c r="AM222" s="303"/>
      <c r="AN222" s="304"/>
      <c r="AO222" s="304"/>
      <c r="AP222" s="304"/>
      <c r="AQ222" s="304"/>
      <c r="AR222" s="304"/>
      <c r="AS222" s="304"/>
      <c r="AT222" s="304"/>
      <c r="AU222" s="304"/>
      <c r="AV222" s="304"/>
      <c r="AW222" s="304"/>
      <c r="AX222" s="304"/>
      <c r="AY222" s="304"/>
      <c r="AZ222" s="304"/>
      <c r="BA222" s="304"/>
      <c r="BB222" s="304"/>
      <c r="BC222" s="304"/>
      <c r="BD222" s="304"/>
      <c r="BE222" s="304"/>
    </row>
    <row r="223" spans="2:59" s="31" customFormat="1" ht="15.5" x14ac:dyDescent="0.3">
      <c r="B223" s="9"/>
      <c r="C223" s="34"/>
      <c r="D223" s="84"/>
      <c r="G223" s="34"/>
      <c r="H223" s="84"/>
      <c r="K223" s="34"/>
      <c r="L223" s="34"/>
      <c r="M223" s="84"/>
      <c r="N223" s="84"/>
      <c r="O223" s="84"/>
      <c r="Q223" s="35"/>
      <c r="R223" s="99"/>
      <c r="S223" s="36"/>
      <c r="T223" s="36"/>
      <c r="U223" s="36"/>
      <c r="V223" s="36"/>
      <c r="W223" s="36"/>
      <c r="X223" s="36"/>
      <c r="Y223" s="36"/>
      <c r="Z223" s="36"/>
      <c r="AA223" s="36"/>
      <c r="AB223" s="36"/>
      <c r="AC223" s="36"/>
      <c r="AD223" s="36"/>
      <c r="AE223" s="36"/>
      <c r="AF223" s="36"/>
      <c r="AG223" s="36"/>
      <c r="AH223" s="36"/>
      <c r="AI223" s="36"/>
      <c r="AJ223" s="36"/>
      <c r="AK223" s="36"/>
      <c r="AL223" s="36"/>
      <c r="AM223" s="36"/>
      <c r="AN223" s="37"/>
      <c r="AO223" s="37"/>
      <c r="AP223" s="37"/>
      <c r="AQ223" s="37"/>
      <c r="AR223" s="37"/>
      <c r="AS223" s="37"/>
      <c r="AT223" s="37"/>
      <c r="AU223" s="37"/>
      <c r="AV223" s="37"/>
      <c r="AW223" s="37"/>
      <c r="AX223" s="37"/>
      <c r="AY223" s="37"/>
      <c r="AZ223" s="37"/>
      <c r="BA223" s="37"/>
      <c r="BB223" s="37"/>
      <c r="BC223" s="37"/>
      <c r="BD223" s="37"/>
      <c r="BE223" s="37"/>
    </row>
    <row r="224" spans="2:59" s="31" customFormat="1" ht="15.5" x14ac:dyDescent="0.3">
      <c r="B224" s="155" t="s">
        <v>487</v>
      </c>
      <c r="C224" s="34"/>
      <c r="D224" s="84"/>
      <c r="G224" s="34"/>
      <c r="H224" s="84"/>
      <c r="K224" s="38" t="s">
        <v>329</v>
      </c>
      <c r="L224" s="38" t="s">
        <v>201</v>
      </c>
      <c r="M224" s="84"/>
      <c r="N224" s="84"/>
      <c r="O224" s="255" t="s">
        <v>644</v>
      </c>
      <c r="Q224" s="35"/>
      <c r="R224" s="36" t="s">
        <v>350</v>
      </c>
      <c r="S224" s="36"/>
      <c r="T224" s="36" t="s">
        <v>275</v>
      </c>
      <c r="U224" s="108"/>
      <c r="V224" s="36"/>
      <c r="W224" s="36"/>
      <c r="X224" s="36"/>
      <c r="Y224" s="36"/>
      <c r="Z224" s="36"/>
      <c r="AA224" s="36"/>
      <c r="AB224" s="36"/>
      <c r="AC224" s="36"/>
      <c r="AD224" s="36"/>
      <c r="AE224" s="36"/>
      <c r="AF224" s="36"/>
      <c r="AG224" s="36"/>
      <c r="AH224" s="36"/>
      <c r="AI224" s="36"/>
      <c r="AJ224" s="36"/>
      <c r="AK224" s="36"/>
      <c r="AL224" s="36"/>
      <c r="AM224" s="36"/>
      <c r="AN224" s="37"/>
      <c r="AO224" s="37"/>
      <c r="AP224" s="37"/>
      <c r="AQ224" s="37"/>
      <c r="AR224" s="37"/>
      <c r="AS224" s="37"/>
      <c r="AT224" s="37"/>
      <c r="AU224" s="37"/>
      <c r="AV224" s="37"/>
      <c r="AW224" s="37"/>
      <c r="AX224" s="37"/>
      <c r="AY224" s="37"/>
      <c r="AZ224" s="37"/>
      <c r="BA224" s="37"/>
      <c r="BB224" s="37"/>
      <c r="BC224" s="37"/>
      <c r="BD224" s="37"/>
      <c r="BE224" s="37"/>
    </row>
    <row r="225" spans="2:57" s="31" customFormat="1" ht="15.5" x14ac:dyDescent="0.3">
      <c r="B225" s="54" t="s">
        <v>510</v>
      </c>
      <c r="C225" s="392" t="s">
        <v>128</v>
      </c>
      <c r="D225" s="393"/>
      <c r="E225" s="393"/>
      <c r="F225" s="393"/>
      <c r="G225" s="394"/>
      <c r="H225" s="84"/>
      <c r="J225" s="33" t="s">
        <v>470</v>
      </c>
      <c r="K225" s="96">
        <f>IF(ISNUMBER(L225),L225,IF(OR(C225=Pudotusvalikot!$D$67,C225=Pudotusvalikot!$D$68),"--",VLOOKUP(C225,Kalusto!$C$5:$E$42,3,FALSE)*IF(OR(C226=Pudotusvalikot!$V$3,C226=Pudotusvalikot!$V$4),Muut!$E$38,IF(C226=Pudotusvalikot!$V$5,Muut!$E$39,IF(C226=Pudotusvalikot!$V$6,Muut!$E$40,Muut!$E$41)))))</f>
        <v>34.130000000000003</v>
      </c>
      <c r="L225" s="40"/>
      <c r="M225" s="41" t="s">
        <v>205</v>
      </c>
      <c r="N225" s="41"/>
      <c r="O225" s="256"/>
      <c r="Q225" s="35"/>
      <c r="R225" s="50" t="str">
        <f>IF(ISNUMBER(K225*T225),K225*T225,"")</f>
        <v/>
      </c>
      <c r="S225" s="102" t="s">
        <v>172</v>
      </c>
      <c r="T225" s="50" t="str">
        <f>IF(ISNUMBER(C227),C227,"")</f>
        <v/>
      </c>
      <c r="U225" s="108"/>
      <c r="V225" s="61"/>
      <c r="W225" s="36"/>
      <c r="X225" s="36"/>
      <c r="Y225" s="36"/>
      <c r="Z225" s="36"/>
      <c r="AA225" s="36"/>
      <c r="AB225" s="36"/>
      <c r="AC225" s="36"/>
      <c r="AD225" s="36"/>
      <c r="AE225" s="36"/>
      <c r="AF225" s="36"/>
      <c r="AG225" s="36"/>
      <c r="AH225" s="36"/>
      <c r="AI225" s="36"/>
      <c r="AJ225" s="36"/>
      <c r="AK225" s="36"/>
      <c r="AL225" s="36"/>
      <c r="AM225" s="36"/>
      <c r="AN225" s="37"/>
      <c r="AO225" s="37"/>
      <c r="AP225" s="37"/>
      <c r="AQ225" s="37"/>
      <c r="AR225" s="37"/>
      <c r="AS225" s="37"/>
      <c r="AT225" s="37"/>
      <c r="AU225" s="37"/>
      <c r="AV225" s="37"/>
      <c r="AW225" s="37"/>
      <c r="AX225" s="37"/>
      <c r="AY225" s="37"/>
      <c r="AZ225" s="37"/>
      <c r="BA225" s="37"/>
      <c r="BB225" s="37"/>
      <c r="BC225" s="37"/>
      <c r="BD225" s="37"/>
      <c r="BE225" s="37"/>
    </row>
    <row r="226" spans="2:57" s="31" customFormat="1" ht="15.5" x14ac:dyDescent="0.3">
      <c r="B226" s="170" t="s">
        <v>509</v>
      </c>
      <c r="C226" s="160" t="s">
        <v>242</v>
      </c>
      <c r="D226" s="34"/>
      <c r="E226" s="34"/>
      <c r="F226" s="34"/>
      <c r="G226" s="34"/>
      <c r="H226" s="59"/>
      <c r="J226" s="173"/>
      <c r="K226" s="173"/>
      <c r="L226" s="173"/>
      <c r="M226" s="41"/>
      <c r="N226" s="41"/>
      <c r="O226" s="265"/>
      <c r="Q226" s="47"/>
      <c r="R226" s="61"/>
      <c r="S226" s="102"/>
      <c r="T226" s="36"/>
      <c r="U226" s="36"/>
      <c r="V226" s="181"/>
      <c r="W226" s="181"/>
      <c r="X226" s="61"/>
      <c r="Y226" s="36"/>
      <c r="Z226" s="61"/>
      <c r="AA226" s="182"/>
      <c r="AB226" s="61"/>
      <c r="AC226" s="61"/>
      <c r="AD226" s="61"/>
      <c r="AE226" s="61"/>
      <c r="AF226" s="182"/>
      <c r="AG226" s="61"/>
      <c r="AH226" s="36"/>
      <c r="AI226" s="36"/>
      <c r="AJ226" s="36"/>
      <c r="AK226" s="108"/>
      <c r="AL226" s="36"/>
      <c r="AM226" s="36"/>
      <c r="AN226" s="37"/>
      <c r="AO226" s="37"/>
      <c r="AP226" s="37"/>
      <c r="AQ226" s="37"/>
      <c r="AR226" s="37"/>
      <c r="AS226" s="37"/>
      <c r="AT226" s="37"/>
      <c r="AU226" s="37"/>
      <c r="AV226" s="37"/>
      <c r="AW226" s="37"/>
      <c r="AX226" s="37"/>
      <c r="AY226" s="37"/>
      <c r="AZ226" s="37"/>
      <c r="BA226" s="37"/>
      <c r="BB226" s="37"/>
      <c r="BC226" s="37"/>
      <c r="BD226" s="37"/>
      <c r="BE226" s="37"/>
    </row>
    <row r="227" spans="2:57" s="31" customFormat="1" ht="15.5" x14ac:dyDescent="0.3">
      <c r="B227" s="54" t="s">
        <v>473</v>
      </c>
      <c r="C227" s="193"/>
      <c r="D227" s="84" t="s">
        <v>51</v>
      </c>
      <c r="G227" s="34"/>
      <c r="H227" s="84"/>
      <c r="J227" s="33"/>
      <c r="K227" s="34"/>
      <c r="L227" s="34"/>
      <c r="M227" s="84"/>
      <c r="N227" s="84"/>
      <c r="O227" s="100"/>
      <c r="Q227" s="35"/>
      <c r="R227" s="36"/>
      <c r="S227" s="36"/>
      <c r="T227" s="36"/>
      <c r="U227" s="108"/>
      <c r="V227" s="36"/>
      <c r="W227" s="36"/>
      <c r="X227" s="36"/>
      <c r="Y227" s="36"/>
      <c r="Z227" s="36"/>
      <c r="AA227" s="36"/>
      <c r="AB227" s="36"/>
      <c r="AC227" s="36"/>
      <c r="AD227" s="36"/>
      <c r="AE227" s="36"/>
      <c r="AF227" s="36"/>
      <c r="AG227" s="36"/>
      <c r="AH227" s="36"/>
      <c r="AI227" s="36"/>
      <c r="AJ227" s="36"/>
      <c r="AK227" s="36"/>
      <c r="AL227" s="36"/>
      <c r="AM227" s="36"/>
      <c r="AN227" s="37"/>
      <c r="AO227" s="37"/>
      <c r="AP227" s="37"/>
      <c r="AQ227" s="37"/>
      <c r="AR227" s="37"/>
      <c r="AS227" s="37"/>
      <c r="AT227" s="37"/>
      <c r="AU227" s="37"/>
      <c r="AV227" s="37"/>
      <c r="AW227" s="37"/>
      <c r="AX227" s="37"/>
      <c r="AY227" s="37"/>
      <c r="AZ227" s="37"/>
      <c r="BA227" s="37"/>
      <c r="BB227" s="37"/>
      <c r="BC227" s="37"/>
      <c r="BD227" s="37"/>
      <c r="BE227" s="37"/>
    </row>
    <row r="228" spans="2:57" s="31" customFormat="1" ht="15.5" x14ac:dyDescent="0.3">
      <c r="B228" s="155" t="s">
        <v>488</v>
      </c>
      <c r="C228" s="34"/>
      <c r="D228" s="84"/>
      <c r="G228" s="34"/>
      <c r="H228" s="84"/>
      <c r="J228" s="33"/>
      <c r="K228" s="38" t="s">
        <v>329</v>
      </c>
      <c r="L228" s="38" t="s">
        <v>201</v>
      </c>
      <c r="M228" s="84"/>
      <c r="N228" s="84"/>
      <c r="O228" s="100"/>
      <c r="Q228" s="35"/>
      <c r="R228" s="36" t="s">
        <v>350</v>
      </c>
      <c r="S228" s="36"/>
      <c r="T228" s="36" t="s">
        <v>275</v>
      </c>
      <c r="U228" s="108"/>
      <c r="V228" s="36"/>
      <c r="W228" s="36"/>
      <c r="X228" s="36"/>
      <c r="Y228" s="36"/>
      <c r="Z228" s="36"/>
      <c r="AA228" s="36"/>
      <c r="AB228" s="36"/>
      <c r="AC228" s="36"/>
      <c r="AD228" s="36"/>
      <c r="AE228" s="36"/>
      <c r="AF228" s="36"/>
      <c r="AG228" s="36"/>
      <c r="AH228" s="36"/>
      <c r="AI228" s="36"/>
      <c r="AJ228" s="36"/>
      <c r="AK228" s="36"/>
      <c r="AL228" s="36"/>
      <c r="AM228" s="36"/>
      <c r="AN228" s="37"/>
      <c r="AO228" s="37"/>
      <c r="AP228" s="37"/>
      <c r="AQ228" s="37"/>
      <c r="AR228" s="37"/>
      <c r="AS228" s="37"/>
      <c r="AT228" s="37"/>
      <c r="AU228" s="37"/>
      <c r="AV228" s="37"/>
      <c r="AW228" s="37"/>
      <c r="AX228" s="37"/>
      <c r="AY228" s="37"/>
      <c r="AZ228" s="37"/>
      <c r="BA228" s="37"/>
      <c r="BB228" s="37"/>
      <c r="BC228" s="37"/>
      <c r="BD228" s="37"/>
      <c r="BE228" s="37"/>
    </row>
    <row r="229" spans="2:57" s="31" customFormat="1" ht="15.5" x14ac:dyDescent="0.3">
      <c r="B229" s="54" t="s">
        <v>510</v>
      </c>
      <c r="C229" s="392" t="s">
        <v>128</v>
      </c>
      <c r="D229" s="393"/>
      <c r="E229" s="393"/>
      <c r="F229" s="393"/>
      <c r="G229" s="394"/>
      <c r="H229" s="84"/>
      <c r="J229" s="33" t="s">
        <v>470</v>
      </c>
      <c r="K229" s="96">
        <f>IF(ISNUMBER(L229),L229,IF(OR(C229=Pudotusvalikot!$D$67,C229=Pudotusvalikot!$D$68),"--",VLOOKUP(C229,Kalusto!$C$5:$E$42,3,FALSE)*IF(OR(C230=Pudotusvalikot!$V$3,C230=Pudotusvalikot!$V$4),Muut!$E$38,IF(C230=Pudotusvalikot!$V$5,Muut!$E$39,IF(C230=Pudotusvalikot!$V$6,Muut!$E$40,Muut!$E$41)))))</f>
        <v>34.130000000000003</v>
      </c>
      <c r="L229" s="40"/>
      <c r="M229" s="41" t="s">
        <v>205</v>
      </c>
      <c r="N229" s="41"/>
      <c r="O229" s="265"/>
      <c r="Q229" s="35"/>
      <c r="R229" s="50" t="str">
        <f>IF(ISNUMBER(K229*T229),K229*T229,"")</f>
        <v/>
      </c>
      <c r="S229" s="102" t="s">
        <v>172</v>
      </c>
      <c r="T229" s="50" t="str">
        <f>IF(ISNUMBER(C231),C231,"")</f>
        <v/>
      </c>
      <c r="U229" s="108"/>
      <c r="V229" s="61"/>
      <c r="W229" s="36"/>
      <c r="X229" s="36"/>
      <c r="Y229" s="36"/>
      <c r="Z229" s="36"/>
      <c r="AA229" s="36"/>
      <c r="AB229" s="36"/>
      <c r="AC229" s="36"/>
      <c r="AD229" s="36"/>
      <c r="AE229" s="36"/>
      <c r="AF229" s="36"/>
      <c r="AG229" s="36"/>
      <c r="AH229" s="36"/>
      <c r="AI229" s="36"/>
      <c r="AJ229" s="36"/>
      <c r="AK229" s="36"/>
      <c r="AL229" s="36"/>
      <c r="AM229" s="36"/>
      <c r="AN229" s="37"/>
      <c r="AO229" s="37"/>
      <c r="AP229" s="37"/>
      <c r="AQ229" s="37"/>
      <c r="AR229" s="37"/>
      <c r="AS229" s="37"/>
      <c r="AT229" s="37"/>
      <c r="AU229" s="37"/>
      <c r="AV229" s="37"/>
      <c r="AW229" s="37"/>
      <c r="AX229" s="37"/>
      <c r="AY229" s="37"/>
      <c r="AZ229" s="37"/>
      <c r="BA229" s="37"/>
      <c r="BB229" s="37"/>
      <c r="BC229" s="37"/>
      <c r="BD229" s="37"/>
      <c r="BE229" s="37"/>
    </row>
    <row r="230" spans="2:57" s="31" customFormat="1" ht="15.5" x14ac:dyDescent="0.3">
      <c r="B230" s="170" t="s">
        <v>509</v>
      </c>
      <c r="C230" s="160" t="s">
        <v>242</v>
      </c>
      <c r="D230" s="34"/>
      <c r="E230" s="34"/>
      <c r="F230" s="34"/>
      <c r="G230" s="34"/>
      <c r="H230" s="59"/>
      <c r="J230" s="173"/>
      <c r="K230" s="173"/>
      <c r="L230" s="173"/>
      <c r="M230" s="41"/>
      <c r="N230" s="41"/>
      <c r="O230" s="265"/>
      <c r="Q230" s="47"/>
      <c r="R230" s="61"/>
      <c r="S230" s="102"/>
      <c r="T230" s="36"/>
      <c r="U230" s="36"/>
      <c r="V230" s="181"/>
      <c r="W230" s="181"/>
      <c r="X230" s="61"/>
      <c r="Y230" s="36"/>
      <c r="Z230" s="61"/>
      <c r="AA230" s="182"/>
      <c r="AB230" s="61"/>
      <c r="AC230" s="61"/>
      <c r="AD230" s="61"/>
      <c r="AE230" s="61"/>
      <c r="AF230" s="182"/>
      <c r="AG230" s="61"/>
      <c r="AH230" s="36"/>
      <c r="AI230" s="36"/>
      <c r="AJ230" s="36"/>
      <c r="AK230" s="108"/>
      <c r="AL230" s="36"/>
      <c r="AM230" s="36"/>
      <c r="AN230" s="37"/>
      <c r="AO230" s="37"/>
      <c r="AP230" s="37"/>
      <c r="AQ230" s="37"/>
      <c r="AR230" s="37"/>
      <c r="AS230" s="37"/>
      <c r="AT230" s="37"/>
      <c r="AU230" s="37"/>
      <c r="AV230" s="37"/>
      <c r="AW230" s="37"/>
      <c r="AX230" s="37"/>
      <c r="AY230" s="37"/>
      <c r="AZ230" s="37"/>
      <c r="BA230" s="37"/>
      <c r="BB230" s="37"/>
      <c r="BC230" s="37"/>
      <c r="BD230" s="37"/>
      <c r="BE230" s="37"/>
    </row>
    <row r="231" spans="2:57" s="31" customFormat="1" ht="15.5" x14ac:dyDescent="0.3">
      <c r="B231" s="54" t="s">
        <v>473</v>
      </c>
      <c r="C231" s="193"/>
      <c r="D231" s="84" t="s">
        <v>51</v>
      </c>
      <c r="G231" s="34"/>
      <c r="H231" s="84"/>
      <c r="J231" s="33"/>
      <c r="K231" s="34"/>
      <c r="L231" s="34"/>
      <c r="M231" s="84"/>
      <c r="N231" s="84"/>
      <c r="O231" s="100"/>
      <c r="Q231" s="35"/>
      <c r="R231" s="36"/>
      <c r="S231" s="36"/>
      <c r="T231" s="36"/>
      <c r="U231" s="108"/>
      <c r="V231" s="36"/>
      <c r="W231" s="36"/>
      <c r="X231" s="36"/>
      <c r="Y231" s="36"/>
      <c r="Z231" s="36"/>
      <c r="AA231" s="36"/>
      <c r="AB231" s="36"/>
      <c r="AC231" s="36"/>
      <c r="AD231" s="36"/>
      <c r="AE231" s="36"/>
      <c r="AF231" s="36"/>
      <c r="AG231" s="36"/>
      <c r="AH231" s="36"/>
      <c r="AI231" s="36"/>
      <c r="AJ231" s="36"/>
      <c r="AK231" s="36"/>
      <c r="AL231" s="36"/>
      <c r="AM231" s="36"/>
      <c r="AN231" s="37"/>
      <c r="AO231" s="37"/>
      <c r="AP231" s="37"/>
      <c r="AQ231" s="37"/>
      <c r="AR231" s="37"/>
      <c r="AS231" s="37"/>
      <c r="AT231" s="37"/>
      <c r="AU231" s="37"/>
      <c r="AV231" s="37"/>
      <c r="AW231" s="37"/>
      <c r="AX231" s="37"/>
      <c r="AY231" s="37"/>
      <c r="AZ231" s="37"/>
      <c r="BA231" s="37"/>
      <c r="BB231" s="37"/>
      <c r="BC231" s="37"/>
      <c r="BD231" s="37"/>
      <c r="BE231" s="37"/>
    </row>
    <row r="232" spans="2:57" s="31" customFormat="1" ht="15.5" x14ac:dyDescent="0.3">
      <c r="B232" s="155" t="s">
        <v>489</v>
      </c>
      <c r="C232" s="34"/>
      <c r="D232" s="84"/>
      <c r="G232" s="34"/>
      <c r="H232" s="84"/>
      <c r="J232" s="33"/>
      <c r="K232" s="38" t="s">
        <v>329</v>
      </c>
      <c r="L232" s="38" t="s">
        <v>201</v>
      </c>
      <c r="M232" s="84"/>
      <c r="N232" s="84"/>
      <c r="O232" s="100"/>
      <c r="Q232" s="35"/>
      <c r="R232" s="36" t="s">
        <v>350</v>
      </c>
      <c r="S232" s="36"/>
      <c r="T232" s="36" t="s">
        <v>275</v>
      </c>
      <c r="U232" s="108"/>
      <c r="V232" s="36"/>
      <c r="W232" s="36"/>
      <c r="X232" s="36"/>
      <c r="Y232" s="36"/>
      <c r="Z232" s="36"/>
      <c r="AA232" s="36"/>
      <c r="AB232" s="36"/>
      <c r="AC232" s="36"/>
      <c r="AD232" s="36"/>
      <c r="AE232" s="36"/>
      <c r="AF232" s="36"/>
      <c r="AG232" s="36"/>
      <c r="AH232" s="36"/>
      <c r="AI232" s="36"/>
      <c r="AJ232" s="36"/>
      <c r="AK232" s="36"/>
      <c r="AL232" s="36"/>
      <c r="AM232" s="36"/>
      <c r="AN232" s="37"/>
      <c r="AO232" s="37"/>
      <c r="AP232" s="37"/>
      <c r="AQ232" s="37"/>
      <c r="AR232" s="37"/>
      <c r="AS232" s="37"/>
      <c r="AT232" s="37"/>
      <c r="AU232" s="37"/>
      <c r="AV232" s="37"/>
      <c r="AW232" s="37"/>
      <c r="AX232" s="37"/>
      <c r="AY232" s="37"/>
      <c r="AZ232" s="37"/>
      <c r="BA232" s="37"/>
      <c r="BB232" s="37"/>
      <c r="BC232" s="37"/>
      <c r="BD232" s="37"/>
      <c r="BE232" s="37"/>
    </row>
    <row r="233" spans="2:57" s="31" customFormat="1" ht="15.5" x14ac:dyDescent="0.3">
      <c r="B233" s="54" t="s">
        <v>510</v>
      </c>
      <c r="C233" s="392" t="s">
        <v>128</v>
      </c>
      <c r="D233" s="393"/>
      <c r="E233" s="393"/>
      <c r="F233" s="393"/>
      <c r="G233" s="394"/>
      <c r="H233" s="84"/>
      <c r="J233" s="33" t="s">
        <v>470</v>
      </c>
      <c r="K233" s="96">
        <f>IF(ISNUMBER(L233),L233,IF(OR(C233=Pudotusvalikot!$D$67,C233=Pudotusvalikot!$D$68),"--",VLOOKUP(C233,Kalusto!$C$5:$E$42,3,FALSE)*IF(OR(C234=Pudotusvalikot!$V$3,C234=Pudotusvalikot!$V$4),Muut!$E$38,IF(C234=Pudotusvalikot!$V$5,Muut!$E$39,IF(C234=Pudotusvalikot!$V$6,Muut!$E$40,Muut!$E$41)))))</f>
        <v>34.130000000000003</v>
      </c>
      <c r="L233" s="40"/>
      <c r="M233" s="41" t="s">
        <v>205</v>
      </c>
      <c r="N233" s="41"/>
      <c r="O233" s="265"/>
      <c r="Q233" s="35"/>
      <c r="R233" s="50" t="str">
        <f>IF(ISNUMBER(K233*T233),K233*T233,"")</f>
        <v/>
      </c>
      <c r="S233" s="102" t="s">
        <v>172</v>
      </c>
      <c r="T233" s="50" t="str">
        <f>IF(ISNUMBER(C235),C235,"")</f>
        <v/>
      </c>
      <c r="U233" s="108"/>
      <c r="V233" s="61"/>
      <c r="W233" s="36"/>
      <c r="X233" s="36"/>
      <c r="Y233" s="36"/>
      <c r="Z233" s="36"/>
      <c r="AA233" s="36"/>
      <c r="AB233" s="36"/>
      <c r="AC233" s="36"/>
      <c r="AD233" s="36"/>
      <c r="AE233" s="36"/>
      <c r="AF233" s="36"/>
      <c r="AG233" s="36"/>
      <c r="AH233" s="36"/>
      <c r="AI233" s="36"/>
      <c r="AJ233" s="36"/>
      <c r="AK233" s="36"/>
      <c r="AL233" s="36"/>
      <c r="AM233" s="36"/>
      <c r="AN233" s="37"/>
      <c r="AO233" s="37"/>
      <c r="AP233" s="37"/>
      <c r="AQ233" s="37"/>
      <c r="AR233" s="37"/>
      <c r="AS233" s="37"/>
      <c r="AT233" s="37"/>
      <c r="AU233" s="37"/>
      <c r="AV233" s="37"/>
      <c r="AW233" s="37"/>
      <c r="AX233" s="37"/>
      <c r="AY233" s="37"/>
      <c r="AZ233" s="37"/>
      <c r="BA233" s="37"/>
      <c r="BB233" s="37"/>
      <c r="BC233" s="37"/>
      <c r="BD233" s="37"/>
      <c r="BE233" s="37"/>
    </row>
    <row r="234" spans="2:57" s="31" customFormat="1" ht="15.5" x14ac:dyDescent="0.3">
      <c r="B234" s="170" t="s">
        <v>509</v>
      </c>
      <c r="C234" s="160" t="s">
        <v>242</v>
      </c>
      <c r="D234" s="34"/>
      <c r="E234" s="34"/>
      <c r="F234" s="34"/>
      <c r="G234" s="34"/>
      <c r="H234" s="59"/>
      <c r="J234" s="173"/>
      <c r="K234" s="173"/>
      <c r="L234" s="173"/>
      <c r="M234" s="41"/>
      <c r="N234" s="41"/>
      <c r="O234" s="265"/>
      <c r="Q234" s="47"/>
      <c r="R234" s="61"/>
      <c r="S234" s="102"/>
      <c r="T234" s="36"/>
      <c r="U234" s="36"/>
      <c r="V234" s="181"/>
      <c r="W234" s="181"/>
      <c r="X234" s="61"/>
      <c r="Y234" s="36"/>
      <c r="Z234" s="61"/>
      <c r="AA234" s="182"/>
      <c r="AB234" s="61"/>
      <c r="AC234" s="61"/>
      <c r="AD234" s="61"/>
      <c r="AE234" s="61"/>
      <c r="AF234" s="182"/>
      <c r="AG234" s="61"/>
      <c r="AH234" s="36"/>
      <c r="AI234" s="36"/>
      <c r="AJ234" s="36"/>
      <c r="AK234" s="108"/>
      <c r="AL234" s="36"/>
      <c r="AM234" s="36"/>
      <c r="AN234" s="37"/>
      <c r="AO234" s="37"/>
      <c r="AP234" s="37"/>
      <c r="AQ234" s="37"/>
      <c r="AR234" s="37"/>
      <c r="AS234" s="37"/>
      <c r="AT234" s="37"/>
      <c r="AU234" s="37"/>
      <c r="AV234" s="37"/>
      <c r="AW234" s="37"/>
      <c r="AX234" s="37"/>
      <c r="AY234" s="37"/>
      <c r="AZ234" s="37"/>
      <c r="BA234" s="37"/>
      <c r="BB234" s="37"/>
      <c r="BC234" s="37"/>
      <c r="BD234" s="37"/>
      <c r="BE234" s="37"/>
    </row>
    <row r="235" spans="2:57" s="31" customFormat="1" ht="15.5" x14ac:dyDescent="0.3">
      <c r="B235" s="54" t="s">
        <v>473</v>
      </c>
      <c r="C235" s="193"/>
      <c r="D235" s="84" t="s">
        <v>51</v>
      </c>
      <c r="G235" s="34"/>
      <c r="H235" s="84"/>
      <c r="J235" s="33"/>
      <c r="K235" s="34"/>
      <c r="L235" s="34"/>
      <c r="M235" s="84"/>
      <c r="N235" s="84"/>
      <c r="O235" s="100"/>
      <c r="Q235" s="35"/>
      <c r="R235" s="99"/>
      <c r="S235" s="36"/>
      <c r="T235" s="36"/>
      <c r="U235" s="36"/>
      <c r="V235" s="36"/>
      <c r="W235" s="36"/>
      <c r="X235" s="36"/>
      <c r="Y235" s="36"/>
      <c r="Z235" s="36"/>
      <c r="AA235" s="36"/>
      <c r="AB235" s="36"/>
      <c r="AC235" s="36"/>
      <c r="AD235" s="36"/>
      <c r="AE235" s="36"/>
      <c r="AF235" s="36"/>
      <c r="AG235" s="36"/>
      <c r="AH235" s="36"/>
      <c r="AI235" s="36"/>
      <c r="AJ235" s="36"/>
      <c r="AK235" s="36"/>
      <c r="AL235" s="36"/>
      <c r="AM235" s="36"/>
      <c r="AN235" s="37"/>
      <c r="AO235" s="37"/>
      <c r="AP235" s="37"/>
      <c r="AQ235" s="37"/>
      <c r="AR235" s="37"/>
      <c r="AS235" s="37"/>
      <c r="AT235" s="37"/>
      <c r="AU235" s="37"/>
      <c r="AV235" s="37"/>
      <c r="AW235" s="37"/>
      <c r="AX235" s="37"/>
      <c r="AY235" s="37"/>
      <c r="AZ235" s="37"/>
      <c r="BA235" s="37"/>
      <c r="BB235" s="37"/>
      <c r="BC235" s="37"/>
      <c r="BD235" s="37"/>
      <c r="BE235" s="37"/>
    </row>
    <row r="236" spans="2:57" s="31" customFormat="1" ht="15.5" x14ac:dyDescent="0.3">
      <c r="C236" s="34"/>
      <c r="D236" s="84"/>
      <c r="G236" s="34"/>
      <c r="H236" s="84"/>
      <c r="K236" s="34"/>
      <c r="L236" s="34"/>
      <c r="M236" s="84"/>
      <c r="N236" s="84"/>
      <c r="O236" s="84"/>
      <c r="Q236" s="35"/>
      <c r="R236" s="99"/>
      <c r="S236" s="36"/>
      <c r="T236" s="36"/>
      <c r="U236" s="36"/>
      <c r="V236" s="36"/>
      <c r="W236" s="36"/>
      <c r="X236" s="36"/>
      <c r="Y236" s="36"/>
      <c r="Z236" s="36"/>
      <c r="AA236" s="36"/>
      <c r="AB236" s="36"/>
      <c r="AC236" s="36"/>
      <c r="AD236" s="36"/>
      <c r="AE236" s="36"/>
      <c r="AF236" s="36"/>
      <c r="AG236" s="36"/>
      <c r="AH236" s="36"/>
      <c r="AI236" s="36"/>
      <c r="AJ236" s="36"/>
      <c r="AK236" s="36"/>
      <c r="AL236" s="36"/>
      <c r="AM236" s="36"/>
      <c r="AN236" s="37"/>
      <c r="AO236" s="37"/>
      <c r="AP236" s="37"/>
      <c r="AQ236" s="37"/>
      <c r="AR236" s="37"/>
      <c r="AS236" s="37"/>
      <c r="AT236" s="37"/>
      <c r="AU236" s="37"/>
      <c r="AV236" s="37"/>
      <c r="AW236" s="37"/>
      <c r="AX236" s="37"/>
      <c r="AY236" s="37"/>
      <c r="AZ236" s="37"/>
      <c r="BA236" s="37"/>
      <c r="BB236" s="37"/>
      <c r="BC236" s="37"/>
      <c r="BD236" s="37"/>
      <c r="BE236" s="37"/>
    </row>
    <row r="237" spans="2:57" s="298" customFormat="1" ht="18" x14ac:dyDescent="0.3">
      <c r="B237" s="295" t="s">
        <v>745</v>
      </c>
      <c r="C237" s="296"/>
      <c r="D237" s="297"/>
      <c r="G237" s="296"/>
      <c r="H237" s="297"/>
      <c r="K237" s="296"/>
      <c r="L237" s="296"/>
      <c r="M237" s="297"/>
      <c r="N237" s="297"/>
      <c r="O237" s="300"/>
      <c r="P237" s="320"/>
      <c r="Q237" s="304"/>
      <c r="R237" s="298" t="str">
        <f>IF(OR(ISNUMBER(#REF!),ISNUMBER(#REF!),ISNUMBER(#REF!),ISNUMBER(#REF!),ISNUMBER(#REF!)),SUM(#REF!,#REF!,#REF!,#REF!,#REF!),"")</f>
        <v/>
      </c>
      <c r="S237" s="303"/>
      <c r="T237" s="303"/>
      <c r="U237" s="303"/>
      <c r="V237" s="303"/>
      <c r="W237" s="303"/>
      <c r="X237" s="303"/>
      <c r="Y237" s="303"/>
      <c r="Z237" s="303"/>
      <c r="AA237" s="303"/>
      <c r="AB237" s="303"/>
      <c r="AC237" s="303"/>
      <c r="AD237" s="303"/>
      <c r="AE237" s="303"/>
      <c r="AF237" s="303"/>
      <c r="AG237" s="303"/>
      <c r="AH237" s="303"/>
      <c r="AI237" s="303"/>
      <c r="AJ237" s="303"/>
      <c r="AK237" s="303"/>
      <c r="AL237" s="303"/>
      <c r="AM237" s="303"/>
      <c r="AN237" s="304"/>
      <c r="AO237" s="304"/>
      <c r="AP237" s="304"/>
      <c r="AQ237" s="304"/>
      <c r="AR237" s="304"/>
      <c r="AS237" s="304"/>
      <c r="AT237" s="304"/>
      <c r="AU237" s="304"/>
      <c r="AV237" s="304"/>
      <c r="AW237" s="304"/>
      <c r="AX237" s="304"/>
      <c r="AY237" s="304"/>
      <c r="AZ237" s="304"/>
      <c r="BA237" s="304"/>
      <c r="BB237" s="304"/>
      <c r="BC237" s="304"/>
      <c r="BD237" s="304"/>
      <c r="BE237" s="304"/>
    </row>
    <row r="238" spans="2:57" s="31" customFormat="1" ht="15.5" x14ac:dyDescent="0.3">
      <c r="B238" s="9"/>
      <c r="C238" s="34"/>
      <c r="D238" s="84"/>
      <c r="E238" s="34"/>
      <c r="F238" s="34"/>
      <c r="G238" s="38"/>
      <c r="H238" s="84"/>
      <c r="J238" s="33"/>
      <c r="K238" s="38"/>
      <c r="L238" s="38"/>
      <c r="M238" s="86"/>
      <c r="N238" s="86"/>
      <c r="O238" s="86"/>
      <c r="P238" s="38"/>
      <c r="Q238" s="35"/>
      <c r="R238" s="99"/>
      <c r="S238" s="36"/>
      <c r="T238" s="36"/>
      <c r="U238" s="36"/>
      <c r="V238" s="36"/>
      <c r="W238" s="36"/>
      <c r="X238" s="36"/>
      <c r="Y238" s="36"/>
      <c r="Z238" s="36"/>
      <c r="AA238" s="36"/>
      <c r="AB238" s="36"/>
      <c r="AC238" s="36"/>
      <c r="AD238" s="36"/>
      <c r="AE238" s="36"/>
      <c r="AF238" s="36"/>
      <c r="AG238" s="36"/>
      <c r="AH238" s="36"/>
      <c r="AI238" s="36"/>
      <c r="AJ238" s="36"/>
      <c r="AK238" s="36"/>
      <c r="AL238" s="36"/>
      <c r="AM238" s="36"/>
      <c r="AN238" s="37"/>
      <c r="AO238" s="37"/>
      <c r="AP238" s="37"/>
      <c r="AQ238" s="37"/>
      <c r="AR238" s="37"/>
      <c r="AS238" s="37"/>
      <c r="AT238" s="37"/>
      <c r="AU238" s="37"/>
      <c r="AV238" s="37"/>
      <c r="AW238" s="37"/>
      <c r="AX238" s="37"/>
      <c r="AY238" s="37"/>
      <c r="AZ238" s="37"/>
      <c r="BA238" s="37"/>
      <c r="BB238" s="37"/>
      <c r="BC238" s="37"/>
      <c r="BD238" s="37"/>
      <c r="BE238" s="37"/>
    </row>
    <row r="239" spans="2:57" s="31" customFormat="1" ht="15.5" x14ac:dyDescent="0.3">
      <c r="B239" s="155" t="s">
        <v>0</v>
      </c>
      <c r="C239" s="34" t="s">
        <v>50</v>
      </c>
      <c r="D239" s="84"/>
      <c r="E239" s="34"/>
      <c r="F239" s="34"/>
      <c r="G239" s="38" t="s">
        <v>199</v>
      </c>
      <c r="H239" s="84"/>
      <c r="J239" s="33"/>
      <c r="K239" s="38" t="s">
        <v>329</v>
      </c>
      <c r="L239" s="38" t="s">
        <v>201</v>
      </c>
      <c r="M239" s="86"/>
      <c r="N239" s="86"/>
      <c r="O239" s="255" t="s">
        <v>644</v>
      </c>
      <c r="P239" s="38"/>
      <c r="Q239" s="35"/>
      <c r="R239" s="36" t="s">
        <v>350</v>
      </c>
      <c r="S239" s="36"/>
      <c r="T239" s="36" t="s">
        <v>446</v>
      </c>
      <c r="U239" s="36" t="s">
        <v>445</v>
      </c>
      <c r="V239" s="36" t="s">
        <v>443</v>
      </c>
      <c r="W239" s="36" t="s">
        <v>444</v>
      </c>
      <c r="X239" s="36" t="s">
        <v>447</v>
      </c>
      <c r="Y239" s="36" t="s">
        <v>449</v>
      </c>
      <c r="Z239" s="36" t="s">
        <v>448</v>
      </c>
      <c r="AA239" s="36" t="s">
        <v>202</v>
      </c>
      <c r="AB239" s="36" t="s">
        <v>380</v>
      </c>
      <c r="AC239" s="36" t="s">
        <v>450</v>
      </c>
      <c r="AD239" s="36" t="s">
        <v>381</v>
      </c>
      <c r="AE239" s="36" t="s">
        <v>451</v>
      </c>
      <c r="AF239" s="36" t="s">
        <v>452</v>
      </c>
      <c r="AG239" s="36" t="s">
        <v>638</v>
      </c>
      <c r="AH239" s="36" t="s">
        <v>206</v>
      </c>
      <c r="AI239" s="36" t="s">
        <v>278</v>
      </c>
      <c r="AJ239" s="36" t="s">
        <v>207</v>
      </c>
      <c r="AK239" s="108"/>
      <c r="AL239" s="36"/>
      <c r="AM239" s="36"/>
      <c r="AN239" s="37"/>
      <c r="AO239" s="37"/>
      <c r="AP239" s="37"/>
      <c r="AQ239" s="37"/>
      <c r="AR239" s="37"/>
      <c r="AS239" s="37"/>
      <c r="AT239" s="37"/>
      <c r="AU239" s="37"/>
      <c r="AV239" s="37"/>
      <c r="AW239" s="37"/>
      <c r="AX239" s="37"/>
      <c r="AY239" s="37"/>
      <c r="AZ239" s="37"/>
      <c r="BA239" s="37"/>
      <c r="BB239" s="37"/>
      <c r="BC239" s="37"/>
      <c r="BD239" s="37"/>
      <c r="BE239" s="37"/>
    </row>
    <row r="240" spans="2:57" s="31" customFormat="1" ht="46.5" x14ac:dyDescent="0.3">
      <c r="B240" s="170" t="s">
        <v>553</v>
      </c>
      <c r="C240" s="160"/>
      <c r="D240" s="89" t="s">
        <v>52</v>
      </c>
      <c r="E240" s="59"/>
      <c r="F240" s="57"/>
      <c r="G240" s="161"/>
      <c r="H240" s="84" t="str">
        <f>IF(D240="t","","t/m3")</f>
        <v/>
      </c>
      <c r="J240" s="173" t="s">
        <v>441</v>
      </c>
      <c r="K240" s="96">
        <f>IF(ISNUMBER(L240),L240,IF(OR(C241=Pudotusvalikot!$D$14,C241=Pudotusvalikot!$D$15),Kalusto!$G$96,VLOOKUP(C241,Kalusto!$C$44:$G$83,5,FALSE))*IF(OR(C242=Pudotusvalikot!$V$3,C242=Pudotusvalikot!$V$4),Muut!$E$38,IF(C242=Pudotusvalikot!$V$5,Muut!$E$39,IF(C242=Pudotusvalikot!$V$6,Muut!$E$40,Muut!$E$41))))</f>
        <v>5.1630000000000002E-2</v>
      </c>
      <c r="L240" s="40"/>
      <c r="M240" s="41" t="s">
        <v>200</v>
      </c>
      <c r="N240" s="41"/>
      <c r="O240" s="256"/>
      <c r="Q240" s="47"/>
      <c r="R240" s="50" t="str">
        <f ca="1">IF(AND(NOT(ISNUMBER(AB240)),NOT(ISNUMBER(AG240))),"",IF(ISNUMBER(AB240),AB240,0)+IF(ISNUMBER(AG240),AG240,0))</f>
        <v/>
      </c>
      <c r="S240" s="102" t="s">
        <v>172</v>
      </c>
      <c r="T240" s="48" t="str">
        <f>IF(ISNUMBER(L240),"Kohdetieto",IF(OR(C241=Pudotusvalikot!$D$14,C241=Pudotusvalikot!$D$15),Kalusto!$I$96,VLOOKUP(C241,Kalusto!$C$44:$L$83,7,FALSE)))</f>
        <v>Maansiirtoauto</v>
      </c>
      <c r="U240" s="48">
        <f>IF(ISNUMBER(L240),"Kohdetieto",IF(OR(C241=Pudotusvalikot!$D$14,C241=Pudotusvalikot!$D$15),Kalusto!$J$96,VLOOKUP(C241,Kalusto!$C$44:$L$83,8,FALSE)))</f>
        <v>32</v>
      </c>
      <c r="V240" s="49">
        <f>IF(ISNUMBER(L240),"Kohdetieto",IF(OR(C241=Pudotusvalikot!$D$14,C241=Pudotusvalikot!$D$15),Kalusto!$K$96,VLOOKUP(C241,Kalusto!$C$44:$L$83,9,FALSE)))</f>
        <v>1</v>
      </c>
      <c r="W240" s="49" t="str">
        <f>IF(ISNUMBER(L240),"Kohdetieto",IF(OR(C241=Pudotusvalikot!$D$14,C241=Pudotusvalikot!$D$15),Kalusto!$L$96,VLOOKUP(C241,Kalusto!$C$44:$L$83,10,FALSE)))</f>
        <v>maantieajo</v>
      </c>
      <c r="X240" s="50" t="str">
        <f>IF(ISBLANK(C240),"",IF(D240="t",C240,C240*G240))</f>
        <v/>
      </c>
      <c r="Y240" s="48" t="str">
        <f>IF(ISNUMBER(C243),C243,"")</f>
        <v/>
      </c>
      <c r="Z240" s="50" t="str">
        <f>IF(ISNUMBER(X240/(U240*V240)*Y240),X240/(U240*V240)*Y240,"")</f>
        <v/>
      </c>
      <c r="AA240" s="51">
        <f>IF(ISNUMBER(L240),L240,K240)</f>
        <v>5.1630000000000002E-2</v>
      </c>
      <c r="AB240" s="50" t="str">
        <f>IF(ISNUMBER(Y240*X240*K240),Y240*X240*K240,"")</f>
        <v/>
      </c>
      <c r="AC240" s="50" t="str">
        <f>IF(ISNUMBER(Y240),Y240,"")</f>
        <v/>
      </c>
      <c r="AD240" s="50" t="str">
        <f>IF(ISNUMBER(X240),IF(ISNUMBER(X240/(U240*V240)),CEILING(X240/(U240*V240),1),""),"")</f>
        <v/>
      </c>
      <c r="AE240" s="50" t="str">
        <f>IF(ISNUMBER(AD240*AC240),AD240*AC240,"")</f>
        <v/>
      </c>
      <c r="AF240" s="51">
        <f ca="1">IF(ISNUMBER(L241),L241,K241)</f>
        <v>0.71940999999999999</v>
      </c>
      <c r="AG240" s="50" t="str">
        <f ca="1">IF(ISNUMBER(AC240*AD240*K241),AC240*AD240*K241,"")</f>
        <v/>
      </c>
      <c r="AH240" s="48">
        <f>IF(T240="Jakelukuorma-auto",0,IF(T240="Maansiirtoauto",4,IF(T240="Puoliperävaunu",6,8)))</f>
        <v>4</v>
      </c>
      <c r="AI240" s="48">
        <f>IF(AND(T240="Jakelukuorma-auto",U240=6),0,IF(AND(T240="Jakelukuorma-auto",U240=15),2,0))</f>
        <v>0</v>
      </c>
      <c r="AJ240" s="48">
        <f>IF(W240="maantieajo",0,1)</f>
        <v>0</v>
      </c>
      <c r="AK240" s="108"/>
      <c r="AL240" s="36"/>
      <c r="AM240" s="36"/>
      <c r="AN240" s="37"/>
      <c r="AO240" s="37"/>
      <c r="AP240" s="37"/>
      <c r="AQ240" s="37"/>
      <c r="AR240" s="37"/>
      <c r="AS240" s="37"/>
      <c r="AT240" s="37"/>
      <c r="AU240" s="37"/>
      <c r="AV240" s="37"/>
      <c r="AW240" s="37"/>
      <c r="AX240" s="37"/>
      <c r="AY240" s="37"/>
      <c r="AZ240" s="37"/>
      <c r="BA240" s="37"/>
      <c r="BB240" s="37"/>
      <c r="BC240" s="37"/>
      <c r="BD240" s="37"/>
      <c r="BE240" s="37"/>
    </row>
    <row r="241" spans="2:57" s="31" customFormat="1" ht="31" x14ac:dyDescent="0.3">
      <c r="B241" s="170" t="s">
        <v>550</v>
      </c>
      <c r="C241" s="392" t="s">
        <v>86</v>
      </c>
      <c r="D241" s="393"/>
      <c r="E241" s="393"/>
      <c r="F241" s="393"/>
      <c r="G241" s="394"/>
      <c r="J241" s="33" t="s">
        <v>442</v>
      </c>
      <c r="K241" s="96">
        <f ca="1">IF(ISNUMBER(L241),L241,IF($C$100="Ei","",IF(AND($C$100="Kyllä",OR(C241=Pudotusvalikot!$D$14,C241=Pudotusvalikot!$D$15)),Kalusto!$G$97,OFFSET(Kalusto!$G$85,AH240+AJ240+AI240,0,1,1)))*IF(OR(C242=Pudotusvalikot!$V$3,C242=Pudotusvalikot!$V$4),Muut!$E$38,IF(C242=Pudotusvalikot!$V$5,Muut!$E$39,IF(C242=Pudotusvalikot!$V$6,Muut!$E$40,Muut!$E$41))))</f>
        <v>0.71940999999999999</v>
      </c>
      <c r="L241" s="40"/>
      <c r="M241" s="41" t="s">
        <v>204</v>
      </c>
      <c r="N241" s="41"/>
      <c r="O241" s="265"/>
      <c r="P241" s="34"/>
      <c r="Q241" s="52"/>
      <c r="R241" s="36"/>
      <c r="S241" s="36"/>
      <c r="T241" s="36"/>
      <c r="U241" s="36"/>
      <c r="V241" s="36"/>
      <c r="W241" s="36"/>
      <c r="X241" s="36"/>
      <c r="Y241" s="36"/>
      <c r="Z241" s="36"/>
      <c r="AA241" s="36"/>
      <c r="AB241" s="36"/>
      <c r="AC241" s="36"/>
      <c r="AD241" s="36"/>
      <c r="AE241" s="36"/>
      <c r="AF241" s="36"/>
      <c r="AG241" s="36"/>
      <c r="AH241" s="36"/>
      <c r="AI241" s="36"/>
      <c r="AJ241" s="36"/>
      <c r="AK241" s="108"/>
      <c r="AL241" s="36"/>
      <c r="AM241" s="36"/>
      <c r="AN241" s="37"/>
      <c r="AO241" s="37"/>
      <c r="AP241" s="37"/>
      <c r="AQ241" s="37"/>
      <c r="AR241" s="37"/>
      <c r="AS241" s="37"/>
      <c r="AT241" s="37"/>
      <c r="AU241" s="37"/>
      <c r="AV241" s="37"/>
      <c r="AW241" s="37"/>
      <c r="AX241" s="37"/>
      <c r="AY241" s="37"/>
      <c r="AZ241" s="37"/>
      <c r="BA241" s="37"/>
      <c r="BB241" s="37"/>
      <c r="BC241" s="37"/>
      <c r="BD241" s="37"/>
      <c r="BE241" s="37"/>
    </row>
    <row r="242" spans="2:57" s="31" customFormat="1" ht="15.5" x14ac:dyDescent="0.3">
      <c r="B242" s="186" t="s">
        <v>506</v>
      </c>
      <c r="C242" s="160" t="s">
        <v>242</v>
      </c>
      <c r="D242" s="34"/>
      <c r="E242" s="34"/>
      <c r="F242" s="34"/>
      <c r="G242" s="34"/>
      <c r="H242" s="59"/>
      <c r="J242" s="173"/>
      <c r="K242" s="173"/>
      <c r="L242" s="173"/>
      <c r="M242" s="41"/>
      <c r="N242" s="41"/>
      <c r="O242" s="265"/>
      <c r="Q242" s="47"/>
      <c r="R242" s="102"/>
      <c r="S242" s="102"/>
      <c r="T242" s="36"/>
      <c r="U242" s="36"/>
      <c r="V242" s="181"/>
      <c r="W242" s="181"/>
      <c r="X242" s="61"/>
      <c r="Y242" s="36"/>
      <c r="Z242" s="61"/>
      <c r="AA242" s="182"/>
      <c r="AB242" s="61"/>
      <c r="AC242" s="61"/>
      <c r="AD242" s="61"/>
      <c r="AE242" s="61"/>
      <c r="AF242" s="182"/>
      <c r="AG242" s="61"/>
      <c r="AH242" s="36"/>
      <c r="AI242" s="36"/>
      <c r="AJ242" s="36"/>
      <c r="AK242" s="108"/>
      <c r="AL242" s="36"/>
      <c r="AM242" s="36"/>
      <c r="AN242" s="37"/>
      <c r="AO242" s="37"/>
      <c r="AP242" s="37"/>
      <c r="AQ242" s="37"/>
      <c r="AR242" s="37"/>
      <c r="AS242" s="37"/>
      <c r="AT242" s="37"/>
      <c r="AU242" s="37"/>
      <c r="AV242" s="37"/>
      <c r="AW242" s="37"/>
      <c r="AX242" s="37"/>
      <c r="AY242" s="37"/>
      <c r="AZ242" s="37"/>
      <c r="BA242" s="37"/>
      <c r="BB242" s="37"/>
      <c r="BC242" s="37"/>
      <c r="BD242" s="37"/>
      <c r="BE242" s="37"/>
    </row>
    <row r="243" spans="2:57" s="31" customFormat="1" ht="15.5" x14ac:dyDescent="0.3">
      <c r="B243" s="45" t="s">
        <v>549</v>
      </c>
      <c r="C243" s="160"/>
      <c r="D243" s="84" t="s">
        <v>5</v>
      </c>
      <c r="G243" s="34"/>
      <c r="H243" s="54"/>
      <c r="I243" s="53"/>
      <c r="J243" s="53"/>
      <c r="K243" s="34"/>
      <c r="L243" s="34"/>
      <c r="M243" s="84"/>
      <c r="N243" s="84"/>
      <c r="O243" s="100"/>
      <c r="P243" s="53"/>
      <c r="Q243" s="52"/>
      <c r="R243" s="36"/>
      <c r="S243" s="36"/>
      <c r="T243" s="36"/>
      <c r="U243" s="36"/>
      <c r="V243" s="36"/>
      <c r="W243" s="36"/>
      <c r="X243" s="36"/>
      <c r="Y243" s="36"/>
      <c r="Z243" s="36"/>
      <c r="AA243" s="36"/>
      <c r="AB243" s="36"/>
      <c r="AC243" s="36"/>
      <c r="AD243" s="36"/>
      <c r="AE243" s="36"/>
      <c r="AF243" s="36"/>
      <c r="AG243" s="36"/>
      <c r="AH243" s="36"/>
      <c r="AI243" s="36"/>
      <c r="AJ243" s="36"/>
      <c r="AK243" s="108"/>
      <c r="AL243" s="36"/>
      <c r="AM243" s="36"/>
      <c r="AN243" s="37"/>
      <c r="AO243" s="37"/>
      <c r="AP243" s="37"/>
      <c r="AQ243" s="37"/>
      <c r="AR243" s="37"/>
      <c r="AS243" s="37"/>
      <c r="AT243" s="37"/>
      <c r="AU243" s="37"/>
      <c r="AV243" s="37"/>
      <c r="AW243" s="37"/>
      <c r="AX243" s="37"/>
      <c r="AY243" s="37"/>
      <c r="AZ243" s="37"/>
      <c r="BA243" s="37"/>
      <c r="BB243" s="37"/>
      <c r="BC243" s="37"/>
      <c r="BD243" s="37"/>
      <c r="BE243" s="37"/>
    </row>
    <row r="244" spans="2:57" s="31" customFormat="1" ht="15.5" x14ac:dyDescent="0.3">
      <c r="B244" s="155" t="s">
        <v>1</v>
      </c>
      <c r="C244" s="34"/>
      <c r="D244" s="84"/>
      <c r="E244" s="34"/>
      <c r="F244" s="34"/>
      <c r="G244" s="38"/>
      <c r="H244" s="84"/>
      <c r="J244" s="33"/>
      <c r="K244" s="38" t="s">
        <v>329</v>
      </c>
      <c r="L244" s="38" t="s">
        <v>201</v>
      </c>
      <c r="M244" s="84"/>
      <c r="N244" s="84"/>
      <c r="O244" s="100"/>
      <c r="P244" s="34"/>
      <c r="Q244" s="35"/>
      <c r="R244" s="36" t="s">
        <v>350</v>
      </c>
      <c r="S244" s="36"/>
      <c r="T244" s="36" t="s">
        <v>446</v>
      </c>
      <c r="U244" s="36" t="s">
        <v>445</v>
      </c>
      <c r="V244" s="36" t="s">
        <v>443</v>
      </c>
      <c r="W244" s="36" t="s">
        <v>444</v>
      </c>
      <c r="X244" s="36" t="s">
        <v>447</v>
      </c>
      <c r="Y244" s="36" t="s">
        <v>449</v>
      </c>
      <c r="Z244" s="36" t="s">
        <v>448</v>
      </c>
      <c r="AA244" s="36" t="s">
        <v>202</v>
      </c>
      <c r="AB244" s="36" t="s">
        <v>380</v>
      </c>
      <c r="AC244" s="36" t="s">
        <v>450</v>
      </c>
      <c r="AD244" s="36" t="s">
        <v>381</v>
      </c>
      <c r="AE244" s="36" t="s">
        <v>451</v>
      </c>
      <c r="AF244" s="36" t="s">
        <v>452</v>
      </c>
      <c r="AG244" s="36" t="s">
        <v>638</v>
      </c>
      <c r="AH244" s="36" t="s">
        <v>206</v>
      </c>
      <c r="AI244" s="36" t="s">
        <v>278</v>
      </c>
      <c r="AJ244" s="36" t="s">
        <v>207</v>
      </c>
      <c r="AK244" s="108"/>
      <c r="AL244" s="36"/>
      <c r="AM244" s="36"/>
      <c r="AN244" s="37"/>
      <c r="AO244" s="37"/>
      <c r="AP244" s="37"/>
      <c r="AQ244" s="37"/>
      <c r="AR244" s="37"/>
      <c r="AS244" s="37"/>
      <c r="AT244" s="37"/>
      <c r="AU244" s="37"/>
      <c r="AV244" s="37"/>
      <c r="AW244" s="37"/>
      <c r="AX244" s="37"/>
      <c r="AY244" s="37"/>
      <c r="AZ244" s="37"/>
      <c r="BA244" s="37"/>
      <c r="BB244" s="37"/>
      <c r="BC244" s="37"/>
      <c r="BD244" s="37"/>
      <c r="BE244" s="37"/>
    </row>
    <row r="245" spans="2:57" s="31" customFormat="1" ht="46.5" x14ac:dyDescent="0.3">
      <c r="B245" s="170" t="s">
        <v>553</v>
      </c>
      <c r="C245" s="160"/>
      <c r="D245" s="89" t="s">
        <v>52</v>
      </c>
      <c r="E245" s="59"/>
      <c r="F245" s="57"/>
      <c r="G245" s="161"/>
      <c r="H245" s="84" t="str">
        <f>IF(D245="t","","t/m3")</f>
        <v/>
      </c>
      <c r="J245" s="173" t="s">
        <v>441</v>
      </c>
      <c r="K245" s="96">
        <f>IF(ISNUMBER(L245),L245,IF(OR(C246=Pudotusvalikot!$D$14,C246=Pudotusvalikot!$D$15),Kalusto!$G$96,VLOOKUP(C246,Kalusto!$C$44:$G$83,5,FALSE))*IF(OR(C247=Pudotusvalikot!$V$3,C247=Pudotusvalikot!$V$4),Muut!$E$38,IF(C247=Pudotusvalikot!$V$5,Muut!$E$39,IF(C247=Pudotusvalikot!$V$6,Muut!$E$40,Muut!$E$41))))</f>
        <v>5.7709999999999997E-2</v>
      </c>
      <c r="L245" s="40"/>
      <c r="M245" s="41" t="s">
        <v>200</v>
      </c>
      <c r="N245" s="41"/>
      <c r="O245" s="265"/>
      <c r="Q245" s="47"/>
      <c r="R245" s="50" t="str">
        <f ca="1">IF(AND(NOT(ISNUMBER(AB245)),NOT(ISNUMBER(AG245))),"",IF(ISNUMBER(AB245),AB245,0)+IF(ISNUMBER(AG245),AG245,0))</f>
        <v/>
      </c>
      <c r="S245" s="102" t="s">
        <v>172</v>
      </c>
      <c r="T245" s="48" t="str">
        <f>IF(ISNUMBER(L245),"Kohdetieto",IF(OR(C246=Pudotusvalikot!$D$14,C246=Pudotusvalikot!$D$15),Kalusto!$I$96,VLOOKUP(C246,Kalusto!$C$44:$L$83,7,FALSE)))</f>
        <v>Maansiirtoauto</v>
      </c>
      <c r="U245" s="48">
        <f>IF(ISNUMBER(L245),"Kohdetieto",IF(OR(C246=Pudotusvalikot!$D$14,C246=Pudotusvalikot!$D$15),Kalusto!$J$96,VLOOKUP(C246,Kalusto!$C$44:$L$83,8,FALSE)))</f>
        <v>32</v>
      </c>
      <c r="V245" s="49">
        <f>IF(ISNUMBER(L245),"Kohdetieto",IF(OR(C246=Pudotusvalikot!$D$14,C246=Pudotusvalikot!$D$15),Kalusto!$K$96,VLOOKUP(C246,Kalusto!$C$44:$L$83,9,FALSE)))</f>
        <v>0.8</v>
      </c>
      <c r="W245" s="49" t="str">
        <f>IF(ISNUMBER(L245),"Kohdetieto",IF(OR(C246=Pudotusvalikot!$D$14,C246=Pudotusvalikot!$D$15),Kalusto!$L$96,VLOOKUP(C246,Kalusto!$C$44:$L$83,10,FALSE)))</f>
        <v>maantieajo</v>
      </c>
      <c r="X245" s="50" t="str">
        <f>IF(ISBLANK(C245),"",IF(D245="t",C245,C245*G245))</f>
        <v/>
      </c>
      <c r="Y245" s="48" t="str">
        <f>IF(ISNUMBER(C248),C248,"")</f>
        <v/>
      </c>
      <c r="Z245" s="50" t="str">
        <f>IF(ISNUMBER(X245/(U245*V245)*Y245),X245/(U245*V245)*Y245,"")</f>
        <v/>
      </c>
      <c r="AA245" s="51">
        <f>IF(ISNUMBER(L245),L245,K245)</f>
        <v>5.7709999999999997E-2</v>
      </c>
      <c r="AB245" s="50" t="str">
        <f>IF(ISNUMBER(Y245*X245*K245),Y245*X245*K245,"")</f>
        <v/>
      </c>
      <c r="AC245" s="50" t="str">
        <f>IF(ISNUMBER(Y245),Y245,"")</f>
        <v/>
      </c>
      <c r="AD245" s="50" t="str">
        <f>IF(ISNUMBER(X245),IF(ISNUMBER(X245/(U245*V245)),CEILING(X245/(U245*V245),1),""),"")</f>
        <v/>
      </c>
      <c r="AE245" s="50" t="str">
        <f>IF(ISNUMBER(AD245*AC245),AD245*AC245,"")</f>
        <v/>
      </c>
      <c r="AF245" s="51">
        <f ca="1">IF(ISNUMBER(L246),L246,K246)</f>
        <v>0.71940999999999999</v>
      </c>
      <c r="AG245" s="50" t="str">
        <f ca="1">IF(ISNUMBER(AC245*AD245*K246),AC245*AD245*K246,"")</f>
        <v/>
      </c>
      <c r="AH245" s="48">
        <f>IF(T245="Jakelukuorma-auto",0,IF(T245="Maansiirtoauto",4,IF(T245="Puoliperävaunu",6,8)))</f>
        <v>4</v>
      </c>
      <c r="AI245" s="48">
        <f>IF(AND(T245="Jakelukuorma-auto",U245=6),0,IF(AND(T245="Jakelukuorma-auto",U245=15),2,0))</f>
        <v>0</v>
      </c>
      <c r="AJ245" s="48">
        <f>IF(W245="maantieajo",0,1)</f>
        <v>0</v>
      </c>
      <c r="AK245" s="108"/>
      <c r="AL245" s="36"/>
      <c r="AM245" s="36"/>
      <c r="AN245" s="37"/>
      <c r="AO245" s="37"/>
      <c r="AP245" s="37"/>
      <c r="AQ245" s="37"/>
      <c r="AR245" s="37"/>
      <c r="AS245" s="37"/>
      <c r="AT245" s="37"/>
      <c r="AU245" s="37"/>
      <c r="AV245" s="37"/>
      <c r="AW245" s="37"/>
      <c r="AX245" s="37"/>
      <c r="AY245" s="37"/>
      <c r="AZ245" s="37"/>
      <c r="BA245" s="37"/>
      <c r="BB245" s="37"/>
      <c r="BC245" s="37"/>
      <c r="BD245" s="37"/>
      <c r="BE245" s="37"/>
    </row>
    <row r="246" spans="2:57" s="31" customFormat="1" ht="31" x14ac:dyDescent="0.3">
      <c r="B246" s="170" t="s">
        <v>550</v>
      </c>
      <c r="C246" s="392" t="s">
        <v>330</v>
      </c>
      <c r="D246" s="393"/>
      <c r="E246" s="393"/>
      <c r="F246" s="393"/>
      <c r="G246" s="394"/>
      <c r="H246" s="31" t="s">
        <v>203</v>
      </c>
      <c r="J246" s="33" t="s">
        <v>442</v>
      </c>
      <c r="K246" s="96">
        <f ca="1">IF(ISNUMBER(L246),L246,IF($C$100="Ei","",IF(AND($C$100="Kyllä",OR(C246=Pudotusvalikot!$D$14,C246=Pudotusvalikot!$D$15)),Kalusto!$G$97,OFFSET(Kalusto!$G$85,AH245+AJ245+AI245,0,1,1)))*IF(OR(C247=Pudotusvalikot!$V$3,C247=Pudotusvalikot!$V$4),Muut!$E$38,IF(C247=Pudotusvalikot!$V$5,Muut!$E$39,IF(C247=Pudotusvalikot!$V$6,Muut!$E$40,Muut!$E$41))))</f>
        <v>0.71940999999999999</v>
      </c>
      <c r="L246" s="40"/>
      <c r="M246" s="41" t="s">
        <v>204</v>
      </c>
      <c r="N246" s="41"/>
      <c r="O246" s="265"/>
      <c r="P246" s="34"/>
      <c r="Q246" s="52"/>
      <c r="R246" s="36"/>
      <c r="S246" s="36"/>
      <c r="T246" s="36"/>
      <c r="U246" s="36"/>
      <c r="V246" s="36"/>
      <c r="W246" s="36"/>
      <c r="X246" s="36"/>
      <c r="Y246" s="36"/>
      <c r="Z246" s="36"/>
      <c r="AA246" s="36"/>
      <c r="AB246" s="36"/>
      <c r="AC246" s="36"/>
      <c r="AD246" s="36"/>
      <c r="AE246" s="36"/>
      <c r="AF246" s="36"/>
      <c r="AG246" s="36"/>
      <c r="AH246" s="36"/>
      <c r="AI246" s="36"/>
      <c r="AJ246" s="36"/>
      <c r="AK246" s="108"/>
      <c r="AL246" s="36"/>
      <c r="AM246" s="36"/>
      <c r="AN246" s="37"/>
      <c r="AO246" s="37"/>
      <c r="AP246" s="37"/>
      <c r="AQ246" s="37"/>
      <c r="AR246" s="37"/>
      <c r="AS246" s="37"/>
      <c r="AT246" s="37"/>
      <c r="AU246" s="37"/>
      <c r="AV246" s="37"/>
      <c r="AW246" s="37"/>
      <c r="AX246" s="37"/>
      <c r="AY246" s="37"/>
      <c r="AZ246" s="37"/>
      <c r="BA246" s="37"/>
      <c r="BB246" s="37"/>
      <c r="BC246" s="37"/>
      <c r="BD246" s="37"/>
      <c r="BE246" s="37"/>
    </row>
    <row r="247" spans="2:57" s="31" customFormat="1" ht="15.5" x14ac:dyDescent="0.3">
      <c r="B247" s="186" t="s">
        <v>506</v>
      </c>
      <c r="C247" s="160" t="s">
        <v>242</v>
      </c>
      <c r="D247" s="34"/>
      <c r="E247" s="34"/>
      <c r="F247" s="34"/>
      <c r="G247" s="34"/>
      <c r="H247" s="59"/>
      <c r="J247" s="173"/>
      <c r="K247" s="173"/>
      <c r="L247" s="173"/>
      <c r="M247" s="41"/>
      <c r="N247" s="41"/>
      <c r="O247" s="265"/>
      <c r="Q247" s="47"/>
      <c r="R247" s="102"/>
      <c r="S247" s="102"/>
      <c r="T247" s="36"/>
      <c r="U247" s="36"/>
      <c r="V247" s="181"/>
      <c r="W247" s="181"/>
      <c r="X247" s="61"/>
      <c r="Y247" s="36"/>
      <c r="Z247" s="61"/>
      <c r="AA247" s="182"/>
      <c r="AB247" s="61"/>
      <c r="AC247" s="61"/>
      <c r="AD247" s="61"/>
      <c r="AE247" s="61"/>
      <c r="AF247" s="182"/>
      <c r="AG247" s="61"/>
      <c r="AH247" s="36"/>
      <c r="AI247" s="36"/>
      <c r="AJ247" s="36"/>
      <c r="AK247" s="108"/>
      <c r="AL247" s="36"/>
      <c r="AM247" s="36"/>
      <c r="AN247" s="37"/>
      <c r="AO247" s="37"/>
      <c r="AP247" s="37"/>
      <c r="AQ247" s="37"/>
      <c r="AR247" s="37"/>
      <c r="AS247" s="37"/>
      <c r="AT247" s="37"/>
      <c r="AU247" s="37"/>
      <c r="AV247" s="37"/>
      <c r="AW247" s="37"/>
      <c r="AX247" s="37"/>
      <c r="AY247" s="37"/>
      <c r="AZ247" s="37"/>
      <c r="BA247" s="37"/>
      <c r="BB247" s="37"/>
      <c r="BC247" s="37"/>
      <c r="BD247" s="37"/>
      <c r="BE247" s="37"/>
    </row>
    <row r="248" spans="2:57" s="31" customFormat="1" ht="15.5" x14ac:dyDescent="0.3">
      <c r="B248" s="45" t="s">
        <v>549</v>
      </c>
      <c r="C248" s="160"/>
      <c r="D248" s="84" t="s">
        <v>5</v>
      </c>
      <c r="G248" s="34"/>
      <c r="H248" s="54"/>
      <c r="I248" s="53"/>
      <c r="J248" s="53"/>
      <c r="K248" s="34"/>
      <c r="L248" s="34"/>
      <c r="M248" s="84"/>
      <c r="N248" s="84"/>
      <c r="O248" s="100"/>
      <c r="P248" s="53"/>
      <c r="Q248" s="52"/>
      <c r="R248" s="36"/>
      <c r="S248" s="36"/>
      <c r="T248" s="36"/>
      <c r="U248" s="36"/>
      <c r="V248" s="36"/>
      <c r="W248" s="36"/>
      <c r="X248" s="36"/>
      <c r="Y248" s="36"/>
      <c r="Z248" s="36"/>
      <c r="AA248" s="36"/>
      <c r="AB248" s="36"/>
      <c r="AC248" s="36"/>
      <c r="AD248" s="36"/>
      <c r="AE248" s="36"/>
      <c r="AF248" s="36"/>
      <c r="AG248" s="36"/>
      <c r="AH248" s="36"/>
      <c r="AI248" s="36"/>
      <c r="AJ248" s="36"/>
      <c r="AK248" s="108"/>
      <c r="AL248" s="36"/>
      <c r="AM248" s="36"/>
      <c r="AN248" s="37"/>
      <c r="AO248" s="37"/>
      <c r="AP248" s="37"/>
      <c r="AQ248" s="37"/>
      <c r="AR248" s="37"/>
      <c r="AS248" s="37"/>
      <c r="AT248" s="37"/>
      <c r="AU248" s="37"/>
      <c r="AV248" s="37"/>
      <c r="AW248" s="37"/>
      <c r="AX248" s="37"/>
      <c r="AY248" s="37"/>
      <c r="AZ248" s="37"/>
      <c r="BA248" s="37"/>
      <c r="BB248" s="37"/>
      <c r="BC248" s="37"/>
      <c r="BD248" s="37"/>
      <c r="BE248" s="37"/>
    </row>
    <row r="249" spans="2:57" s="31" customFormat="1" ht="15.5" x14ac:dyDescent="0.3">
      <c r="B249" s="155" t="s">
        <v>2</v>
      </c>
      <c r="C249" s="34"/>
      <c r="D249" s="84"/>
      <c r="E249" s="34"/>
      <c r="F249" s="34"/>
      <c r="G249" s="38"/>
      <c r="H249" s="84"/>
      <c r="J249" s="33"/>
      <c r="K249" s="38" t="s">
        <v>329</v>
      </c>
      <c r="L249" s="38" t="s">
        <v>201</v>
      </c>
      <c r="M249" s="84"/>
      <c r="N249" s="84"/>
      <c r="O249" s="100"/>
      <c r="P249" s="34"/>
      <c r="Q249" s="35"/>
      <c r="R249" s="36" t="s">
        <v>350</v>
      </c>
      <c r="S249" s="36"/>
      <c r="T249" s="36" t="s">
        <v>446</v>
      </c>
      <c r="U249" s="36" t="s">
        <v>445</v>
      </c>
      <c r="V249" s="36" t="s">
        <v>443</v>
      </c>
      <c r="W249" s="36" t="s">
        <v>444</v>
      </c>
      <c r="X249" s="36" t="s">
        <v>447</v>
      </c>
      <c r="Y249" s="36" t="s">
        <v>449</v>
      </c>
      <c r="Z249" s="36" t="s">
        <v>448</v>
      </c>
      <c r="AA249" s="36" t="s">
        <v>202</v>
      </c>
      <c r="AB249" s="36" t="s">
        <v>380</v>
      </c>
      <c r="AC249" s="36" t="s">
        <v>450</v>
      </c>
      <c r="AD249" s="36" t="s">
        <v>381</v>
      </c>
      <c r="AE249" s="36" t="s">
        <v>451</v>
      </c>
      <c r="AF249" s="36" t="s">
        <v>452</v>
      </c>
      <c r="AG249" s="36" t="s">
        <v>638</v>
      </c>
      <c r="AH249" s="36" t="s">
        <v>206</v>
      </c>
      <c r="AI249" s="36" t="s">
        <v>278</v>
      </c>
      <c r="AJ249" s="36" t="s">
        <v>207</v>
      </c>
      <c r="AK249" s="108"/>
      <c r="AL249" s="36"/>
      <c r="AM249" s="36"/>
      <c r="AN249" s="37"/>
      <c r="AO249" s="37"/>
      <c r="AP249" s="37"/>
      <c r="AQ249" s="37"/>
      <c r="AR249" s="37"/>
      <c r="AS249" s="37"/>
      <c r="AT249" s="37"/>
      <c r="AU249" s="37"/>
      <c r="AV249" s="37"/>
      <c r="AW249" s="37"/>
      <c r="AX249" s="37"/>
      <c r="AY249" s="37"/>
      <c r="AZ249" s="37"/>
      <c r="BA249" s="37"/>
      <c r="BB249" s="37"/>
      <c r="BC249" s="37"/>
      <c r="BD249" s="37"/>
      <c r="BE249" s="37"/>
    </row>
    <row r="250" spans="2:57" s="31" customFormat="1" ht="46.5" x14ac:dyDescent="0.3">
      <c r="B250" s="170" t="s">
        <v>553</v>
      </c>
      <c r="C250" s="160"/>
      <c r="D250" s="89" t="s">
        <v>52</v>
      </c>
      <c r="E250" s="59"/>
      <c r="F250" s="57"/>
      <c r="G250" s="161"/>
      <c r="H250" s="84" t="str">
        <f>IF(D250="t","","t/m3")</f>
        <v/>
      </c>
      <c r="J250" s="173" t="s">
        <v>441</v>
      </c>
      <c r="K250" s="96">
        <f>IF(ISNUMBER(L250),L250,IF(OR(C251=Pudotusvalikot!$D$14,C251=Pudotusvalikot!$D$15),Kalusto!$G$96,VLOOKUP(C251,Kalusto!$C$44:$G$83,5,FALSE))*IF(OR(C252=Pudotusvalikot!$V$3,C252=Pudotusvalikot!$V$4),Muut!$E$38,IF(C252=Pudotusvalikot!$V$5,Muut!$E$39,IF(C252=Pudotusvalikot!$V$6,Muut!$E$40,Muut!$E$41))))</f>
        <v>5.7709999999999997E-2</v>
      </c>
      <c r="L250" s="40"/>
      <c r="M250" s="41" t="s">
        <v>200</v>
      </c>
      <c r="N250" s="41"/>
      <c r="O250" s="265"/>
      <c r="Q250" s="47"/>
      <c r="R250" s="50" t="str">
        <f ca="1">IF(AND(NOT(ISNUMBER(AB250)),NOT(ISNUMBER(AG250))),"",IF(ISNUMBER(AB250),AB250,0)+IF(ISNUMBER(AG250),AG250,0))</f>
        <v/>
      </c>
      <c r="S250" s="102" t="s">
        <v>172</v>
      </c>
      <c r="T250" s="48" t="str">
        <f>IF(ISNUMBER(L250),"Kohdetieto",IF(OR(C251=Pudotusvalikot!$D$14,C251=Pudotusvalikot!$D$15),Kalusto!$I$96,VLOOKUP(C251,Kalusto!$C$44:$L$83,7,FALSE)))</f>
        <v>Maansiirtoauto</v>
      </c>
      <c r="U250" s="48">
        <f>IF(ISNUMBER(L250),"Kohdetieto",IF(OR(C251=Pudotusvalikot!$D$14,C251=Pudotusvalikot!$D$15),Kalusto!$J$96,VLOOKUP(C251,Kalusto!$C$44:$L$83,8,FALSE)))</f>
        <v>32</v>
      </c>
      <c r="V250" s="49">
        <f>IF(ISNUMBER(L250),"Kohdetieto",IF(OR(C251=Pudotusvalikot!$D$14,C251=Pudotusvalikot!$D$15),Kalusto!$K$96,VLOOKUP(C251,Kalusto!$C$44:$L$83,9,FALSE)))</f>
        <v>0.8</v>
      </c>
      <c r="W250" s="49" t="str">
        <f>IF(ISNUMBER(L250),"Kohdetieto",IF(OR(C251=Pudotusvalikot!$D$14,C251=Pudotusvalikot!$D$15),Kalusto!$L$96,VLOOKUP(C251,Kalusto!$C$44:$L$83,10,FALSE)))</f>
        <v>maantieajo</v>
      </c>
      <c r="X250" s="50" t="str">
        <f>IF(ISBLANK(C250),"",IF(D250="t",C250,C250*G250))</f>
        <v/>
      </c>
      <c r="Y250" s="48" t="str">
        <f>IF(ISNUMBER(C253),C253,"")</f>
        <v/>
      </c>
      <c r="Z250" s="50" t="str">
        <f>IF(ISNUMBER(X250/(U250*V250)*Y250),X250/(U250*V250)*Y250,"")</f>
        <v/>
      </c>
      <c r="AA250" s="51">
        <f>IF(ISNUMBER(L250),L250,K250)</f>
        <v>5.7709999999999997E-2</v>
      </c>
      <c r="AB250" s="50" t="str">
        <f>IF(ISNUMBER(Y250*X250*K250),Y250*X250*K250,"")</f>
        <v/>
      </c>
      <c r="AC250" s="50" t="str">
        <f>IF(ISNUMBER(Y250),Y250,"")</f>
        <v/>
      </c>
      <c r="AD250" s="50" t="str">
        <f>IF(ISNUMBER(X250),IF(ISNUMBER(X250/(U250*V250)),CEILING(X250/(U250*V250),1),""),"")</f>
        <v/>
      </c>
      <c r="AE250" s="50" t="str">
        <f>IF(ISNUMBER(AD250*AC250),AD250*AC250,"")</f>
        <v/>
      </c>
      <c r="AF250" s="51">
        <f ca="1">IF(ISNUMBER(L251),L251,K251)</f>
        <v>0.71940999999999999</v>
      </c>
      <c r="AG250" s="50" t="str">
        <f ca="1">IF(ISNUMBER(AC250*AD250*K251),AC250*AD250*K251,"")</f>
        <v/>
      </c>
      <c r="AH250" s="48">
        <f>IF(T250="Jakelukuorma-auto",0,IF(T250="Maansiirtoauto",4,IF(T250="Puoliperävaunu",6,8)))</f>
        <v>4</v>
      </c>
      <c r="AI250" s="48">
        <f>IF(AND(T250="Jakelukuorma-auto",U250=6),0,IF(AND(T250="Jakelukuorma-auto",U250=15),2,0))</f>
        <v>0</v>
      </c>
      <c r="AJ250" s="48">
        <f>IF(W250="maantieajo",0,1)</f>
        <v>0</v>
      </c>
      <c r="AK250" s="108"/>
      <c r="AL250" s="36"/>
      <c r="AM250" s="36"/>
      <c r="AN250" s="37"/>
      <c r="AO250" s="37"/>
      <c r="AP250" s="37"/>
      <c r="AQ250" s="37"/>
      <c r="AR250" s="37"/>
      <c r="AS250" s="37"/>
      <c r="AT250" s="37"/>
      <c r="AU250" s="37"/>
      <c r="AV250" s="37"/>
      <c r="AW250" s="37"/>
      <c r="AX250" s="37"/>
      <c r="AY250" s="37"/>
      <c r="AZ250" s="37"/>
      <c r="BA250" s="37"/>
      <c r="BB250" s="37"/>
      <c r="BC250" s="37"/>
      <c r="BD250" s="37"/>
      <c r="BE250" s="37"/>
    </row>
    <row r="251" spans="2:57" s="31" customFormat="1" ht="31" x14ac:dyDescent="0.3">
      <c r="B251" s="170" t="s">
        <v>550</v>
      </c>
      <c r="C251" s="392" t="s">
        <v>330</v>
      </c>
      <c r="D251" s="393"/>
      <c r="E251" s="393"/>
      <c r="F251" s="393"/>
      <c r="G251" s="394"/>
      <c r="J251" s="33" t="s">
        <v>442</v>
      </c>
      <c r="K251" s="96">
        <f ca="1">IF(ISNUMBER(L251),L251,IF($C$100="Ei","",IF(AND($C$100="Kyllä",OR(C251=Pudotusvalikot!$D$14,C251=Pudotusvalikot!$D$15)),Kalusto!$G$97,OFFSET(Kalusto!$G$85,AH250+AJ250+AI250,0,1,1)))*IF(OR(C252=Pudotusvalikot!$V$3,C252=Pudotusvalikot!$V$4),Muut!$E$38,IF(C252=Pudotusvalikot!$V$5,Muut!$E$39,IF(C252=Pudotusvalikot!$V$6,Muut!$E$40,Muut!$E$41))))</f>
        <v>0.71940999999999999</v>
      </c>
      <c r="L251" s="40"/>
      <c r="M251" s="41" t="s">
        <v>204</v>
      </c>
      <c r="N251" s="41"/>
      <c r="O251" s="265"/>
      <c r="P251" s="34"/>
      <c r="Q251" s="52"/>
      <c r="R251" s="36"/>
      <c r="S251" s="36"/>
      <c r="T251" s="36"/>
      <c r="U251" s="36"/>
      <c r="V251" s="36"/>
      <c r="W251" s="36"/>
      <c r="X251" s="36"/>
      <c r="Y251" s="36"/>
      <c r="Z251" s="36"/>
      <c r="AA251" s="36"/>
      <c r="AB251" s="36"/>
      <c r="AC251" s="36"/>
      <c r="AD251" s="36"/>
      <c r="AE251" s="36"/>
      <c r="AF251" s="36"/>
      <c r="AG251" s="36"/>
      <c r="AH251" s="36"/>
      <c r="AI251" s="36"/>
      <c r="AJ251" s="36"/>
      <c r="AK251" s="108"/>
      <c r="AL251" s="36"/>
      <c r="AM251" s="36"/>
      <c r="AN251" s="37"/>
      <c r="AO251" s="37"/>
      <c r="AP251" s="37"/>
      <c r="AQ251" s="37"/>
      <c r="AR251" s="37"/>
      <c r="AS251" s="37"/>
      <c r="AT251" s="37"/>
      <c r="AU251" s="37"/>
      <c r="AV251" s="37"/>
      <c r="AW251" s="37"/>
      <c r="AX251" s="37"/>
      <c r="AY251" s="37"/>
      <c r="AZ251" s="37"/>
      <c r="BA251" s="37"/>
      <c r="BB251" s="37"/>
      <c r="BC251" s="37"/>
      <c r="BD251" s="37"/>
      <c r="BE251" s="37"/>
    </row>
    <row r="252" spans="2:57" s="31" customFormat="1" ht="15.5" x14ac:dyDescent="0.3">
      <c r="B252" s="186" t="s">
        <v>506</v>
      </c>
      <c r="C252" s="160" t="s">
        <v>242</v>
      </c>
      <c r="D252" s="34"/>
      <c r="E252" s="34"/>
      <c r="F252" s="34"/>
      <c r="G252" s="34"/>
      <c r="H252" s="59"/>
      <c r="J252" s="173"/>
      <c r="K252" s="173"/>
      <c r="L252" s="173"/>
      <c r="M252" s="41"/>
      <c r="N252" s="41"/>
      <c r="O252" s="265"/>
      <c r="Q252" s="47"/>
      <c r="R252" s="102"/>
      <c r="S252" s="102"/>
      <c r="T252" s="36"/>
      <c r="U252" s="36"/>
      <c r="V252" s="181"/>
      <c r="W252" s="181"/>
      <c r="X252" s="61"/>
      <c r="Y252" s="36"/>
      <c r="Z252" s="61"/>
      <c r="AA252" s="182"/>
      <c r="AB252" s="61"/>
      <c r="AC252" s="61"/>
      <c r="AD252" s="61"/>
      <c r="AE252" s="61"/>
      <c r="AF252" s="182"/>
      <c r="AG252" s="61"/>
      <c r="AH252" s="36"/>
      <c r="AI252" s="36"/>
      <c r="AJ252" s="36"/>
      <c r="AK252" s="108"/>
      <c r="AL252" s="36"/>
      <c r="AM252" s="36"/>
      <c r="AN252" s="37"/>
      <c r="AO252" s="37"/>
      <c r="AP252" s="37"/>
      <c r="AQ252" s="37"/>
      <c r="AR252" s="37"/>
      <c r="AS252" s="37"/>
      <c r="AT252" s="37"/>
      <c r="AU252" s="37"/>
      <c r="AV252" s="37"/>
      <c r="AW252" s="37"/>
      <c r="AX252" s="37"/>
      <c r="AY252" s="37"/>
      <c r="AZ252" s="37"/>
      <c r="BA252" s="37"/>
      <c r="BB252" s="37"/>
      <c r="BC252" s="37"/>
      <c r="BD252" s="37"/>
      <c r="BE252" s="37"/>
    </row>
    <row r="253" spans="2:57" s="31" customFormat="1" ht="15.5" x14ac:dyDescent="0.3">
      <c r="B253" s="45" t="s">
        <v>549</v>
      </c>
      <c r="C253" s="160"/>
      <c r="D253" s="84" t="s">
        <v>5</v>
      </c>
      <c r="G253" s="34"/>
      <c r="H253" s="84"/>
      <c r="I253" s="53"/>
      <c r="J253" s="53"/>
      <c r="K253" s="34"/>
      <c r="L253" s="34"/>
      <c r="M253" s="84"/>
      <c r="N253" s="84"/>
      <c r="O253" s="100"/>
      <c r="P253" s="53"/>
      <c r="Q253" s="52"/>
      <c r="R253" s="36"/>
      <c r="S253" s="36"/>
      <c r="T253" s="36"/>
      <c r="U253" s="36"/>
      <c r="V253" s="36"/>
      <c r="W253" s="36"/>
      <c r="X253" s="36"/>
      <c r="Y253" s="36"/>
      <c r="Z253" s="36"/>
      <c r="AA253" s="36"/>
      <c r="AB253" s="36"/>
      <c r="AC253" s="36"/>
      <c r="AD253" s="36"/>
      <c r="AE253" s="36"/>
      <c r="AF253" s="36"/>
      <c r="AG253" s="36"/>
      <c r="AH253" s="36"/>
      <c r="AI253" s="36"/>
      <c r="AJ253" s="36"/>
      <c r="AK253" s="108"/>
      <c r="AL253" s="36"/>
      <c r="AM253" s="36"/>
      <c r="AN253" s="37"/>
      <c r="AO253" s="37"/>
      <c r="AP253" s="37"/>
      <c r="AQ253" s="37"/>
      <c r="AR253" s="37"/>
      <c r="AS253" s="37"/>
      <c r="AT253" s="37"/>
      <c r="AU253" s="37"/>
      <c r="AV253" s="37"/>
      <c r="AW253" s="37"/>
      <c r="AX253" s="37"/>
      <c r="AY253" s="37"/>
      <c r="AZ253" s="37"/>
      <c r="BA253" s="37"/>
      <c r="BB253" s="37"/>
      <c r="BC253" s="37"/>
      <c r="BD253" s="37"/>
      <c r="BE253" s="37"/>
    </row>
    <row r="254" spans="2:57" s="31" customFormat="1" ht="15.5" x14ac:dyDescent="0.3">
      <c r="B254" s="155" t="s">
        <v>3</v>
      </c>
      <c r="C254" s="34"/>
      <c r="D254" s="84"/>
      <c r="E254" s="34"/>
      <c r="F254" s="34"/>
      <c r="G254" s="38"/>
      <c r="H254" s="84"/>
      <c r="J254" s="33"/>
      <c r="K254" s="38" t="s">
        <v>329</v>
      </c>
      <c r="L254" s="38" t="s">
        <v>201</v>
      </c>
      <c r="M254" s="84"/>
      <c r="N254" s="84"/>
      <c r="O254" s="100"/>
      <c r="P254" s="34"/>
      <c r="Q254" s="35"/>
      <c r="R254" s="36" t="s">
        <v>350</v>
      </c>
      <c r="S254" s="36"/>
      <c r="T254" s="36" t="s">
        <v>446</v>
      </c>
      <c r="U254" s="36" t="s">
        <v>445</v>
      </c>
      <c r="V254" s="36" t="s">
        <v>443</v>
      </c>
      <c r="W254" s="36" t="s">
        <v>444</v>
      </c>
      <c r="X254" s="36" t="s">
        <v>447</v>
      </c>
      <c r="Y254" s="36" t="s">
        <v>449</v>
      </c>
      <c r="Z254" s="36" t="s">
        <v>448</v>
      </c>
      <c r="AA254" s="36" t="s">
        <v>202</v>
      </c>
      <c r="AB254" s="36" t="s">
        <v>380</v>
      </c>
      <c r="AC254" s="36" t="s">
        <v>450</v>
      </c>
      <c r="AD254" s="36" t="s">
        <v>381</v>
      </c>
      <c r="AE254" s="36" t="s">
        <v>451</v>
      </c>
      <c r="AF254" s="36" t="s">
        <v>452</v>
      </c>
      <c r="AG254" s="36" t="s">
        <v>638</v>
      </c>
      <c r="AH254" s="36" t="s">
        <v>206</v>
      </c>
      <c r="AI254" s="36" t="s">
        <v>278</v>
      </c>
      <c r="AJ254" s="36" t="s">
        <v>207</v>
      </c>
      <c r="AK254" s="108"/>
      <c r="AL254" s="36"/>
      <c r="AM254" s="36"/>
      <c r="AN254" s="37"/>
      <c r="AO254" s="37"/>
      <c r="AP254" s="37"/>
      <c r="AQ254" s="37"/>
      <c r="AR254" s="37"/>
      <c r="AS254" s="37"/>
      <c r="AT254" s="37"/>
      <c r="AU254" s="37"/>
      <c r="AV254" s="37"/>
      <c r="AW254" s="37"/>
      <c r="AX254" s="37"/>
      <c r="AY254" s="37"/>
      <c r="AZ254" s="37"/>
      <c r="BA254" s="37"/>
      <c r="BB254" s="37"/>
      <c r="BC254" s="37"/>
      <c r="BD254" s="37"/>
      <c r="BE254" s="37"/>
    </row>
    <row r="255" spans="2:57" s="31" customFormat="1" ht="46.5" x14ac:dyDescent="0.3">
      <c r="B255" s="170" t="s">
        <v>553</v>
      </c>
      <c r="C255" s="160"/>
      <c r="D255" s="89" t="s">
        <v>52</v>
      </c>
      <c r="E255" s="59"/>
      <c r="F255" s="57"/>
      <c r="G255" s="161"/>
      <c r="H255" s="84" t="str">
        <f>IF(D255="t","","t/m3")</f>
        <v/>
      </c>
      <c r="J255" s="173" t="s">
        <v>441</v>
      </c>
      <c r="K255" s="96">
        <f>IF(ISNUMBER(L255),L255,IF(OR(C256=Pudotusvalikot!$D$14,C256=Pudotusvalikot!$D$15),Kalusto!$G$96,VLOOKUP(C256,Kalusto!$C$44:$G$83,5,FALSE))*IF(OR(C257=Pudotusvalikot!$V$3,C257=Pudotusvalikot!$V$4),Muut!$E$38,IF(C257=Pudotusvalikot!$V$5,Muut!$E$39,IF(C257=Pudotusvalikot!$V$6,Muut!$E$40,Muut!$E$41))))</f>
        <v>5.7709999999999997E-2</v>
      </c>
      <c r="L255" s="40"/>
      <c r="M255" s="41" t="s">
        <v>200</v>
      </c>
      <c r="N255" s="41"/>
      <c r="O255" s="265"/>
      <c r="Q255" s="47"/>
      <c r="R255" s="50" t="str">
        <f ca="1">IF(AND(NOT(ISNUMBER(AB255)),NOT(ISNUMBER(AG255))),"",IF(ISNUMBER(AB255),AB255,0)+IF(ISNUMBER(AG255),AG255,0))</f>
        <v/>
      </c>
      <c r="S255" s="102" t="s">
        <v>172</v>
      </c>
      <c r="T255" s="48" t="str">
        <f>IF(ISNUMBER(L255),"Kohdetieto",IF(OR(C256=Pudotusvalikot!$D$14,C256=Pudotusvalikot!$D$15),Kalusto!$I$96,VLOOKUP(C256,Kalusto!$C$44:$L$83,7,FALSE)))</f>
        <v>Maansiirtoauto</v>
      </c>
      <c r="U255" s="48">
        <f>IF(ISNUMBER(L255),"Kohdetieto",IF(OR(C256=Pudotusvalikot!$D$14,C256=Pudotusvalikot!$D$15),Kalusto!$J$96,VLOOKUP(C256,Kalusto!$C$44:$L$83,8,FALSE)))</f>
        <v>32</v>
      </c>
      <c r="V255" s="49">
        <f>IF(ISNUMBER(L255),"Kohdetieto",IF(OR(C256=Pudotusvalikot!$D$14,C256=Pudotusvalikot!$D$15),Kalusto!$K$96,VLOOKUP(C256,Kalusto!$C$44:$L$83,9,FALSE)))</f>
        <v>0.8</v>
      </c>
      <c r="W255" s="49" t="str">
        <f>IF(ISNUMBER(L255),"Kohdetieto",IF(OR(C256=Pudotusvalikot!$D$14,C256=Pudotusvalikot!$D$15),Kalusto!$L$96,VLOOKUP(C256,Kalusto!$C$44:$L$83,10,FALSE)))</f>
        <v>maantieajo</v>
      </c>
      <c r="X255" s="50" t="str">
        <f>IF(ISBLANK(C255),"",IF(D255="t",C255,C255*G255))</f>
        <v/>
      </c>
      <c r="Y255" s="48" t="str">
        <f>IF(ISNUMBER(C258),C258,"")</f>
        <v/>
      </c>
      <c r="Z255" s="50" t="str">
        <f>IF(ISNUMBER(X255/(U255*V255)*Y255),X255/(U255*V255)*Y255,"")</f>
        <v/>
      </c>
      <c r="AA255" s="51">
        <f>IF(ISNUMBER(L255),L255,K255)</f>
        <v>5.7709999999999997E-2</v>
      </c>
      <c r="AB255" s="50" t="str">
        <f>IF(ISNUMBER(Y255*X255*K255),Y255*X255*K255,"")</f>
        <v/>
      </c>
      <c r="AC255" s="50" t="str">
        <f>IF(ISNUMBER(Y255),Y255,"")</f>
        <v/>
      </c>
      <c r="AD255" s="50" t="str">
        <f>IF(ISNUMBER(X255),IF(ISNUMBER(X255/(U255*V255)),CEILING(X255/(U255*V255),1),""),"")</f>
        <v/>
      </c>
      <c r="AE255" s="50" t="str">
        <f>IF(ISNUMBER(AD255*AC255),AD255*AC255,"")</f>
        <v/>
      </c>
      <c r="AF255" s="51">
        <f ca="1">IF(ISNUMBER(L256),L256,K256)</f>
        <v>0.71940999999999999</v>
      </c>
      <c r="AG255" s="50" t="str">
        <f ca="1">IF(ISNUMBER(AC255*AD255*K256),AC255*AD255*K256,"")</f>
        <v/>
      </c>
      <c r="AH255" s="48">
        <f>IF(T255="Jakelukuorma-auto",0,IF(T255="Maansiirtoauto",4,IF(T255="Puoliperävaunu",6,8)))</f>
        <v>4</v>
      </c>
      <c r="AI255" s="48">
        <f>IF(AND(T255="Jakelukuorma-auto",U255=6),0,IF(AND(T255="Jakelukuorma-auto",U255=15),2,0))</f>
        <v>0</v>
      </c>
      <c r="AJ255" s="48">
        <f>IF(W255="maantieajo",0,1)</f>
        <v>0</v>
      </c>
      <c r="AK255" s="108"/>
      <c r="AL255" s="36"/>
      <c r="AM255" s="36"/>
      <c r="AN255" s="37"/>
      <c r="AO255" s="37"/>
      <c r="AP255" s="37"/>
      <c r="AQ255" s="37"/>
      <c r="AR255" s="37"/>
      <c r="AS255" s="37"/>
      <c r="AT255" s="37"/>
      <c r="AU255" s="37"/>
      <c r="AV255" s="37"/>
      <c r="AW255" s="37"/>
      <c r="AX255" s="37"/>
      <c r="AY255" s="37"/>
      <c r="AZ255" s="37"/>
      <c r="BA255" s="37"/>
      <c r="BB255" s="37"/>
      <c r="BC255" s="37"/>
      <c r="BD255" s="37"/>
      <c r="BE255" s="37"/>
    </row>
    <row r="256" spans="2:57" s="31" customFormat="1" ht="31" x14ac:dyDescent="0.3">
      <c r="B256" s="170" t="s">
        <v>550</v>
      </c>
      <c r="C256" s="392" t="s">
        <v>330</v>
      </c>
      <c r="D256" s="393"/>
      <c r="E256" s="393"/>
      <c r="F256" s="393"/>
      <c r="G256" s="394"/>
      <c r="J256" s="33" t="s">
        <v>442</v>
      </c>
      <c r="K256" s="96">
        <f ca="1">IF(ISNUMBER(L256),L256,IF($C$100="Ei","",IF(AND($C$100="Kyllä",OR(C256=Pudotusvalikot!$D$14,C256=Pudotusvalikot!$D$15)),Kalusto!$G$97,OFFSET(Kalusto!$G$85,AH255+AJ255+AI255,0,1,1)))*IF(OR(C257=Pudotusvalikot!$V$3,C257=Pudotusvalikot!$V$4),Muut!$E$38,IF(C257=Pudotusvalikot!$V$5,Muut!$E$39,IF(C257=Pudotusvalikot!$V$6,Muut!$E$40,Muut!$E$41))))</f>
        <v>0.71940999999999999</v>
      </c>
      <c r="L256" s="40"/>
      <c r="M256" s="41" t="s">
        <v>204</v>
      </c>
      <c r="N256" s="41"/>
      <c r="O256" s="265"/>
      <c r="P256" s="34"/>
      <c r="Q256" s="52"/>
      <c r="R256" s="36"/>
      <c r="S256" s="36"/>
      <c r="T256" s="36"/>
      <c r="U256" s="36"/>
      <c r="V256" s="36"/>
      <c r="W256" s="36"/>
      <c r="X256" s="36"/>
      <c r="Y256" s="36"/>
      <c r="Z256" s="36"/>
      <c r="AA256" s="36"/>
      <c r="AB256" s="36"/>
      <c r="AC256" s="36"/>
      <c r="AD256" s="36"/>
      <c r="AE256" s="36"/>
      <c r="AF256" s="36"/>
      <c r="AG256" s="36"/>
      <c r="AH256" s="36"/>
      <c r="AI256" s="36"/>
      <c r="AJ256" s="36"/>
      <c r="AK256" s="108"/>
      <c r="AL256" s="36"/>
      <c r="AM256" s="36"/>
      <c r="AN256" s="37"/>
      <c r="AO256" s="37"/>
      <c r="AP256" s="37"/>
      <c r="AQ256" s="37"/>
      <c r="AR256" s="37"/>
      <c r="AS256" s="37"/>
      <c r="AT256" s="37"/>
      <c r="AU256" s="37"/>
      <c r="AV256" s="37"/>
      <c r="AW256" s="37"/>
      <c r="AX256" s="37"/>
      <c r="AY256" s="37"/>
      <c r="AZ256" s="37"/>
      <c r="BA256" s="37"/>
      <c r="BB256" s="37"/>
      <c r="BC256" s="37"/>
      <c r="BD256" s="37"/>
      <c r="BE256" s="37"/>
    </row>
    <row r="257" spans="2:57" s="31" customFormat="1" ht="15.5" x14ac:dyDescent="0.3">
      <c r="B257" s="186" t="s">
        <v>506</v>
      </c>
      <c r="C257" s="160" t="s">
        <v>242</v>
      </c>
      <c r="D257" s="34"/>
      <c r="E257" s="34"/>
      <c r="F257" s="34"/>
      <c r="G257" s="34"/>
      <c r="H257" s="59"/>
      <c r="J257" s="173"/>
      <c r="K257" s="173"/>
      <c r="L257" s="173"/>
      <c r="M257" s="41"/>
      <c r="N257" s="41"/>
      <c r="O257" s="265"/>
      <c r="Q257" s="47"/>
      <c r="R257" s="102"/>
      <c r="S257" s="102"/>
      <c r="T257" s="36"/>
      <c r="U257" s="36"/>
      <c r="V257" s="181"/>
      <c r="W257" s="181"/>
      <c r="X257" s="61"/>
      <c r="Y257" s="36"/>
      <c r="Z257" s="61"/>
      <c r="AA257" s="182"/>
      <c r="AB257" s="61"/>
      <c r="AC257" s="61"/>
      <c r="AD257" s="61"/>
      <c r="AE257" s="61"/>
      <c r="AF257" s="182"/>
      <c r="AG257" s="61"/>
      <c r="AH257" s="36"/>
      <c r="AI257" s="36"/>
      <c r="AJ257" s="36"/>
      <c r="AK257" s="108"/>
      <c r="AL257" s="36"/>
      <c r="AM257" s="36"/>
      <c r="AN257" s="37"/>
      <c r="AO257" s="37"/>
      <c r="AP257" s="37"/>
      <c r="AQ257" s="37"/>
      <c r="AR257" s="37"/>
      <c r="AS257" s="37"/>
      <c r="AT257" s="37"/>
      <c r="AU257" s="37"/>
      <c r="AV257" s="37"/>
      <c r="AW257" s="37"/>
      <c r="AX257" s="37"/>
      <c r="AY257" s="37"/>
      <c r="AZ257" s="37"/>
      <c r="BA257" s="37"/>
      <c r="BB257" s="37"/>
      <c r="BC257" s="37"/>
      <c r="BD257" s="37"/>
      <c r="BE257" s="37"/>
    </row>
    <row r="258" spans="2:57" s="31" customFormat="1" ht="15.5" x14ac:dyDescent="0.3">
      <c r="B258" s="45" t="s">
        <v>549</v>
      </c>
      <c r="C258" s="160"/>
      <c r="D258" s="84" t="s">
        <v>176</v>
      </c>
      <c r="G258" s="34"/>
      <c r="H258" s="84"/>
      <c r="I258" s="53"/>
      <c r="J258" s="53"/>
      <c r="K258" s="34"/>
      <c r="L258" s="34"/>
      <c r="M258" s="84"/>
      <c r="N258" s="84"/>
      <c r="O258" s="100"/>
      <c r="P258" s="53"/>
      <c r="Q258" s="52"/>
      <c r="R258" s="36"/>
      <c r="S258" s="36"/>
      <c r="T258" s="36"/>
      <c r="U258" s="36"/>
      <c r="V258" s="36"/>
      <c r="W258" s="36"/>
      <c r="X258" s="36"/>
      <c r="Y258" s="36"/>
      <c r="Z258" s="36"/>
      <c r="AA258" s="36"/>
      <c r="AB258" s="36"/>
      <c r="AC258" s="36"/>
      <c r="AD258" s="36"/>
      <c r="AE258" s="36"/>
      <c r="AF258" s="36"/>
      <c r="AG258" s="36"/>
      <c r="AH258" s="36"/>
      <c r="AI258" s="36"/>
      <c r="AJ258" s="36"/>
      <c r="AK258" s="108"/>
      <c r="AL258" s="36"/>
      <c r="AM258" s="36"/>
      <c r="AN258" s="37"/>
      <c r="AO258" s="37"/>
      <c r="AP258" s="37"/>
      <c r="AQ258" s="37"/>
      <c r="AR258" s="37"/>
      <c r="AS258" s="37"/>
      <c r="AT258" s="37"/>
      <c r="AU258" s="37"/>
      <c r="AV258" s="37"/>
      <c r="AW258" s="37"/>
      <c r="AX258" s="37"/>
      <c r="AY258" s="37"/>
      <c r="AZ258" s="37"/>
      <c r="BA258" s="37"/>
      <c r="BB258" s="37"/>
      <c r="BC258" s="37"/>
      <c r="BD258" s="37"/>
      <c r="BE258" s="37"/>
    </row>
    <row r="259" spans="2:57" s="31" customFormat="1" ht="15.5" x14ac:dyDescent="0.3">
      <c r="B259" s="155" t="s">
        <v>4</v>
      </c>
      <c r="C259" s="34"/>
      <c r="D259" s="84"/>
      <c r="G259" s="34"/>
      <c r="H259" s="84"/>
      <c r="J259" s="33"/>
      <c r="K259" s="38" t="s">
        <v>329</v>
      </c>
      <c r="L259" s="38" t="s">
        <v>201</v>
      </c>
      <c r="M259" s="84"/>
      <c r="N259" s="84"/>
      <c r="O259" s="100"/>
      <c r="P259" s="34"/>
      <c r="Q259" s="35"/>
      <c r="R259" s="36" t="s">
        <v>350</v>
      </c>
      <c r="S259" s="36"/>
      <c r="T259" s="36" t="s">
        <v>446</v>
      </c>
      <c r="U259" s="36" t="s">
        <v>445</v>
      </c>
      <c r="V259" s="36" t="s">
        <v>443</v>
      </c>
      <c r="W259" s="36" t="s">
        <v>444</v>
      </c>
      <c r="X259" s="36" t="s">
        <v>447</v>
      </c>
      <c r="Y259" s="36" t="s">
        <v>449</v>
      </c>
      <c r="Z259" s="36" t="s">
        <v>448</v>
      </c>
      <c r="AA259" s="36" t="s">
        <v>202</v>
      </c>
      <c r="AB259" s="36" t="s">
        <v>380</v>
      </c>
      <c r="AC259" s="36" t="s">
        <v>450</v>
      </c>
      <c r="AD259" s="36" t="s">
        <v>381</v>
      </c>
      <c r="AE259" s="36" t="s">
        <v>451</v>
      </c>
      <c r="AF259" s="36" t="s">
        <v>452</v>
      </c>
      <c r="AG259" s="36" t="s">
        <v>638</v>
      </c>
      <c r="AH259" s="36" t="s">
        <v>206</v>
      </c>
      <c r="AI259" s="36" t="s">
        <v>278</v>
      </c>
      <c r="AJ259" s="36" t="s">
        <v>207</v>
      </c>
      <c r="AK259" s="108"/>
      <c r="AL259" s="36"/>
      <c r="AM259" s="36"/>
      <c r="AN259" s="37"/>
      <c r="AO259" s="37"/>
      <c r="AP259" s="37"/>
      <c r="AQ259" s="37"/>
      <c r="AR259" s="37"/>
      <c r="AS259" s="37"/>
      <c r="AT259" s="37"/>
      <c r="AU259" s="37"/>
      <c r="AV259" s="37"/>
      <c r="AW259" s="37"/>
      <c r="AX259" s="37"/>
      <c r="AY259" s="37"/>
      <c r="AZ259" s="37"/>
      <c r="BA259" s="37"/>
      <c r="BB259" s="37"/>
      <c r="BC259" s="37"/>
      <c r="BD259" s="37"/>
      <c r="BE259" s="37"/>
    </row>
    <row r="260" spans="2:57" s="31" customFormat="1" ht="46.5" x14ac:dyDescent="0.3">
      <c r="B260" s="170" t="s">
        <v>553</v>
      </c>
      <c r="C260" s="161"/>
      <c r="D260" s="91" t="s">
        <v>52</v>
      </c>
      <c r="E260" s="59"/>
      <c r="F260" s="57"/>
      <c r="G260" s="161"/>
      <c r="H260" s="84" t="str">
        <f>IF(D260="t","","t/m3")</f>
        <v/>
      </c>
      <c r="J260" s="173" t="s">
        <v>441</v>
      </c>
      <c r="K260" s="96">
        <f>IF(ISNUMBER(L260),L260,IF(OR(C261=Pudotusvalikot!$D$14,C261=Pudotusvalikot!$D$15),Kalusto!$G$96,VLOOKUP(C261,Kalusto!$C$44:$G$83,5,FALSE))*IF(OR(C262=Pudotusvalikot!$V$3,C262=Pudotusvalikot!$V$4),Muut!$E$38,IF(C262=Pudotusvalikot!$V$5,Muut!$E$39,IF(C262=Pudotusvalikot!$V$6,Muut!$E$40,Muut!$E$41))))</f>
        <v>5.7709999999999997E-2</v>
      </c>
      <c r="L260" s="40"/>
      <c r="M260" s="41" t="s">
        <v>200</v>
      </c>
      <c r="N260" s="41"/>
      <c r="O260" s="265"/>
      <c r="Q260" s="47"/>
      <c r="R260" s="50" t="str">
        <f ca="1">IF(AND(NOT(ISNUMBER(AB260)),NOT(ISNUMBER(AG260))),"",IF(ISNUMBER(AB260),AB260,0)+IF(ISNUMBER(AG260),AG260,0))</f>
        <v/>
      </c>
      <c r="S260" s="102" t="s">
        <v>172</v>
      </c>
      <c r="T260" s="48" t="str">
        <f>IF(ISNUMBER(L260),"Kohdetieto",IF(OR(C261=Pudotusvalikot!$D$14,C261=Pudotusvalikot!$D$15),Kalusto!$I$96,VLOOKUP(C261,Kalusto!$C$44:$L$83,7,FALSE)))</f>
        <v>Maansiirtoauto</v>
      </c>
      <c r="U260" s="48">
        <f>IF(ISNUMBER(L260),"Kohdetieto",IF(OR(C261=Pudotusvalikot!$D$14,C261=Pudotusvalikot!$D$15),Kalusto!$J$96,VLOOKUP(C261,Kalusto!$C$44:$L$83,8,FALSE)))</f>
        <v>32</v>
      </c>
      <c r="V260" s="49">
        <f>IF(ISNUMBER(L260),"Kohdetieto",IF(OR(C261=Pudotusvalikot!$D$14,C261=Pudotusvalikot!$D$15),Kalusto!$K$96,VLOOKUP(C261,Kalusto!$C$44:$L$83,9,FALSE)))</f>
        <v>0.8</v>
      </c>
      <c r="W260" s="49" t="str">
        <f>IF(ISNUMBER(L260),"Kohdetieto",IF(OR(C261=Pudotusvalikot!$D$14,C261=Pudotusvalikot!$D$15),Kalusto!$L$96,VLOOKUP(C261,Kalusto!$C$44:$L$83,10,FALSE)))</f>
        <v>maantieajo</v>
      </c>
      <c r="X260" s="50" t="str">
        <f>IF(ISBLANK(C260),"",IF(D260="t",C260,C260*G260))</f>
        <v/>
      </c>
      <c r="Y260" s="48" t="str">
        <f>IF(ISNUMBER(C263),C263,"")</f>
        <v/>
      </c>
      <c r="Z260" s="50" t="str">
        <f>IF(ISNUMBER(X260/(U260*V260)*Y260),X260/(U260*V260)*Y260,"")</f>
        <v/>
      </c>
      <c r="AA260" s="51">
        <f>IF(ISNUMBER(L260),L260,K260)</f>
        <v>5.7709999999999997E-2</v>
      </c>
      <c r="AB260" s="50" t="str">
        <f>IF(ISNUMBER(Y260*X260*K260),Y260*X260*K260,"")</f>
        <v/>
      </c>
      <c r="AC260" s="50" t="str">
        <f>IF(ISNUMBER(Y260),Y260,"")</f>
        <v/>
      </c>
      <c r="AD260" s="50" t="str">
        <f>IF(ISNUMBER(X260),IF(ISNUMBER(X260/(U260*V260)),CEILING(X260/(U260*V260),1),""),"")</f>
        <v/>
      </c>
      <c r="AE260" s="50" t="str">
        <f>IF(ISNUMBER(AD260*AC260),AD260*AC260,"")</f>
        <v/>
      </c>
      <c r="AF260" s="51">
        <f ca="1">IF(ISNUMBER(L261),L261,K261)</f>
        <v>0.71940999999999999</v>
      </c>
      <c r="AG260" s="50" t="str">
        <f ca="1">IF(ISNUMBER(AC260*AD260*K261),AC260*AD260*K261,"")</f>
        <v/>
      </c>
      <c r="AH260" s="48">
        <f>IF(T260="Jakelukuorma-auto",0,IF(T260="Maansiirtoauto",4,IF(T260="Puoliperävaunu",6,8)))</f>
        <v>4</v>
      </c>
      <c r="AI260" s="48">
        <f>IF(AND(T260="Jakelukuorma-auto",U260=6),0,IF(AND(T260="Jakelukuorma-auto",U260=15),2,0))</f>
        <v>0</v>
      </c>
      <c r="AJ260" s="48">
        <f>IF(W260="maantieajo",0,1)</f>
        <v>0</v>
      </c>
      <c r="AK260" s="108"/>
      <c r="AL260" s="36"/>
      <c r="AM260" s="36"/>
      <c r="AN260" s="37"/>
      <c r="AO260" s="37"/>
      <c r="AP260" s="37"/>
      <c r="AQ260" s="37"/>
      <c r="AR260" s="37"/>
      <c r="AS260" s="37"/>
      <c r="AT260" s="37"/>
      <c r="AU260" s="37"/>
      <c r="AV260" s="37"/>
      <c r="AW260" s="37"/>
      <c r="AX260" s="37"/>
      <c r="AY260" s="37"/>
      <c r="AZ260" s="37"/>
      <c r="BA260" s="37"/>
      <c r="BB260" s="37"/>
      <c r="BC260" s="37"/>
      <c r="BD260" s="37"/>
      <c r="BE260" s="37"/>
    </row>
    <row r="261" spans="2:57" s="31" customFormat="1" ht="31" x14ac:dyDescent="0.3">
      <c r="B261" s="170" t="s">
        <v>550</v>
      </c>
      <c r="C261" s="392" t="s">
        <v>330</v>
      </c>
      <c r="D261" s="393"/>
      <c r="E261" s="393"/>
      <c r="F261" s="393"/>
      <c r="G261" s="394"/>
      <c r="I261" s="59"/>
      <c r="J261" s="33" t="s">
        <v>442</v>
      </c>
      <c r="K261" s="96">
        <f ca="1">IF(ISNUMBER(L261),L261,IF($C$100="Ei","",IF(AND($C$100="Kyllä",OR(C261=Pudotusvalikot!$D$14,C261=Pudotusvalikot!$D$15)),Kalusto!$G$97,OFFSET(Kalusto!$G$85,AH260+AJ260+AI260,0,1,1)))*IF(OR(C262=Pudotusvalikot!$V$3,C262=Pudotusvalikot!$V$4),Muut!$E$38,IF(C262=Pudotusvalikot!$V$5,Muut!$E$39,IF(C262=Pudotusvalikot!$V$6,Muut!$E$40,Muut!$E$41))))</f>
        <v>0.71940999999999999</v>
      </c>
      <c r="L261" s="40"/>
      <c r="M261" s="41" t="s">
        <v>204</v>
      </c>
      <c r="N261" s="41"/>
      <c r="O261" s="265"/>
      <c r="P261" s="34"/>
      <c r="Q261" s="52"/>
      <c r="R261" s="99"/>
      <c r="S261" s="36"/>
      <c r="T261" s="36"/>
      <c r="U261" s="36"/>
      <c r="V261" s="36"/>
      <c r="W261" s="36"/>
      <c r="X261" s="36"/>
      <c r="Y261" s="36"/>
      <c r="Z261" s="36"/>
      <c r="AA261" s="36"/>
      <c r="AB261" s="36"/>
      <c r="AC261" s="36"/>
      <c r="AD261" s="36"/>
      <c r="AE261" s="36"/>
      <c r="AF261" s="36"/>
      <c r="AG261" s="36"/>
      <c r="AH261" s="36"/>
      <c r="AI261" s="36"/>
      <c r="AJ261" s="36"/>
      <c r="AK261" s="36"/>
      <c r="AL261" s="36"/>
      <c r="AM261" s="36"/>
      <c r="AN261" s="37"/>
      <c r="AO261" s="37"/>
      <c r="AP261" s="37"/>
      <c r="AQ261" s="37"/>
      <c r="AR261" s="37"/>
      <c r="AS261" s="37"/>
      <c r="AT261" s="37"/>
      <c r="AU261" s="37"/>
      <c r="AV261" s="37"/>
      <c r="AW261" s="37"/>
      <c r="AX261" s="37"/>
      <c r="AY261" s="37"/>
      <c r="AZ261" s="37"/>
      <c r="BA261" s="37"/>
      <c r="BB261" s="37"/>
      <c r="BC261" s="37"/>
      <c r="BD261" s="37"/>
      <c r="BE261" s="37"/>
    </row>
    <row r="262" spans="2:57" s="31" customFormat="1" ht="15.5" x14ac:dyDescent="0.3">
      <c r="B262" s="186" t="s">
        <v>506</v>
      </c>
      <c r="C262" s="160" t="s">
        <v>242</v>
      </c>
      <c r="D262" s="34"/>
      <c r="E262" s="34"/>
      <c r="F262" s="34"/>
      <c r="G262" s="34"/>
      <c r="H262" s="59"/>
      <c r="J262" s="173"/>
      <c r="K262" s="173"/>
      <c r="L262" s="173"/>
      <c r="M262" s="41"/>
      <c r="N262" s="41"/>
      <c r="O262" s="265"/>
      <c r="Q262" s="47"/>
      <c r="R262" s="102"/>
      <c r="S262" s="102"/>
      <c r="T262" s="36"/>
      <c r="U262" s="36"/>
      <c r="V262" s="181"/>
      <c r="W262" s="181"/>
      <c r="X262" s="61"/>
      <c r="Y262" s="36"/>
      <c r="Z262" s="61"/>
      <c r="AA262" s="182"/>
      <c r="AB262" s="61"/>
      <c r="AC262" s="61"/>
      <c r="AD262" s="61"/>
      <c r="AE262" s="61"/>
      <c r="AF262" s="182"/>
      <c r="AG262" s="61"/>
      <c r="AH262" s="36"/>
      <c r="AI262" s="36"/>
      <c r="AJ262" s="36"/>
      <c r="AK262" s="108"/>
      <c r="AL262" s="36"/>
      <c r="AM262" s="36"/>
      <c r="AN262" s="37"/>
      <c r="AO262" s="37"/>
      <c r="AP262" s="37"/>
      <c r="AQ262" s="37"/>
      <c r="AR262" s="37"/>
      <c r="AS262" s="37"/>
      <c r="AT262" s="37"/>
      <c r="AU262" s="37"/>
      <c r="AV262" s="37"/>
      <c r="AW262" s="37"/>
      <c r="AX262" s="37"/>
      <c r="AY262" s="37"/>
      <c r="AZ262" s="37"/>
      <c r="BA262" s="37"/>
      <c r="BB262" s="37"/>
      <c r="BC262" s="37"/>
      <c r="BD262" s="37"/>
      <c r="BE262" s="37"/>
    </row>
    <row r="263" spans="2:57" s="31" customFormat="1" ht="15.5" x14ac:dyDescent="0.3">
      <c r="B263" s="45" t="s">
        <v>549</v>
      </c>
      <c r="C263" s="162"/>
      <c r="D263" s="84" t="s">
        <v>5</v>
      </c>
      <c r="G263" s="34"/>
      <c r="H263" s="84"/>
      <c r="I263" s="53"/>
      <c r="J263" s="53"/>
      <c r="K263" s="34"/>
      <c r="L263" s="34"/>
      <c r="M263" s="84"/>
      <c r="N263" s="84"/>
      <c r="O263" s="100"/>
      <c r="P263" s="53"/>
      <c r="Q263" s="52"/>
      <c r="R263" s="99"/>
      <c r="S263" s="36"/>
      <c r="T263" s="36"/>
      <c r="U263" s="36"/>
      <c r="V263" s="36"/>
      <c r="W263" s="36"/>
      <c r="X263" s="36"/>
      <c r="Y263" s="36"/>
      <c r="Z263" s="36"/>
      <c r="AA263" s="36"/>
      <c r="AB263" s="36"/>
      <c r="AC263" s="36"/>
      <c r="AD263" s="36"/>
      <c r="AE263" s="36"/>
      <c r="AF263" s="36"/>
      <c r="AG263" s="36"/>
      <c r="AH263" s="36"/>
      <c r="AI263" s="36"/>
      <c r="AJ263" s="36"/>
      <c r="AK263" s="36"/>
      <c r="AL263" s="36"/>
      <c r="AM263" s="36"/>
      <c r="AN263" s="37"/>
      <c r="AO263" s="37"/>
      <c r="AP263" s="37"/>
      <c r="AQ263" s="37"/>
      <c r="AR263" s="37"/>
      <c r="AS263" s="37"/>
      <c r="AT263" s="37"/>
      <c r="AU263" s="37"/>
      <c r="AV263" s="37"/>
      <c r="AW263" s="37"/>
      <c r="AX263" s="37"/>
      <c r="AY263" s="37"/>
      <c r="AZ263" s="37"/>
      <c r="BA263" s="37"/>
      <c r="BB263" s="37"/>
      <c r="BC263" s="37"/>
      <c r="BD263" s="37"/>
      <c r="BE263" s="37"/>
    </row>
    <row r="264" spans="2:57" s="31" customFormat="1" ht="15.5" x14ac:dyDescent="0.3">
      <c r="B264" s="54"/>
      <c r="C264" s="34"/>
      <c r="D264" s="59"/>
      <c r="E264" s="58"/>
      <c r="F264" s="58"/>
      <c r="G264" s="34"/>
      <c r="H264" s="84"/>
      <c r="J264" s="33"/>
      <c r="K264" s="34"/>
      <c r="L264" s="34"/>
      <c r="M264" s="84"/>
      <c r="N264" s="84"/>
      <c r="O264" s="100"/>
      <c r="Q264" s="35"/>
      <c r="R264" s="99"/>
      <c r="S264" s="36"/>
      <c r="T264" s="36"/>
      <c r="U264" s="36"/>
      <c r="V264" s="36"/>
      <c r="W264" s="36"/>
      <c r="X264" s="36"/>
      <c r="Y264" s="36"/>
      <c r="Z264" s="36"/>
      <c r="AA264" s="36"/>
      <c r="AB264" s="36"/>
      <c r="AC264" s="36"/>
      <c r="AD264" s="36"/>
      <c r="AE264" s="36"/>
      <c r="AF264" s="36"/>
      <c r="AG264" s="36"/>
      <c r="AH264" s="36"/>
      <c r="AI264" s="36"/>
      <c r="AJ264" s="36"/>
      <c r="AK264" s="36"/>
      <c r="AL264" s="36"/>
      <c r="AM264" s="36"/>
      <c r="AN264" s="37"/>
      <c r="AO264" s="37"/>
      <c r="AP264" s="37"/>
      <c r="AQ264" s="37"/>
      <c r="AR264" s="37"/>
      <c r="AS264" s="37"/>
      <c r="AT264" s="37"/>
      <c r="AU264" s="37"/>
      <c r="AV264" s="37"/>
      <c r="AW264" s="37"/>
      <c r="AX264" s="37"/>
      <c r="AY264" s="37"/>
      <c r="AZ264" s="37"/>
      <c r="BA264" s="37"/>
      <c r="BB264" s="37"/>
      <c r="BC264" s="37"/>
      <c r="BD264" s="37"/>
      <c r="BE264" s="37"/>
    </row>
    <row r="265" spans="2:57" s="31" customFormat="1" ht="15.5" x14ac:dyDescent="0.3">
      <c r="B265" s="177" t="s">
        <v>554</v>
      </c>
      <c r="C265" s="34"/>
      <c r="D265" s="59"/>
      <c r="E265" s="58"/>
      <c r="F265" s="58"/>
      <c r="G265" s="34"/>
      <c r="H265" s="84"/>
      <c r="J265" s="33"/>
      <c r="K265" s="34"/>
      <c r="L265" s="34"/>
      <c r="M265" s="84"/>
      <c r="N265" s="84"/>
      <c r="O265" s="100"/>
      <c r="Q265" s="35"/>
      <c r="R265" s="99"/>
      <c r="S265" s="36"/>
      <c r="T265" s="36"/>
      <c r="U265" s="36"/>
      <c r="V265" s="36"/>
      <c r="W265" s="36"/>
      <c r="X265" s="36"/>
      <c r="Y265" s="36"/>
      <c r="Z265" s="36"/>
      <c r="AA265" s="36"/>
      <c r="AB265" s="36"/>
      <c r="AC265" s="36"/>
      <c r="AD265" s="36"/>
      <c r="AE265" s="36"/>
      <c r="AF265" s="36"/>
      <c r="AG265" s="36"/>
      <c r="AH265" s="36"/>
      <c r="AI265" s="36"/>
      <c r="AJ265" s="36"/>
      <c r="AK265" s="36"/>
      <c r="AL265" s="36"/>
      <c r="AM265" s="36"/>
      <c r="AN265" s="37"/>
      <c r="AO265" s="37"/>
      <c r="AP265" s="37"/>
      <c r="AQ265" s="37"/>
      <c r="AR265" s="37"/>
      <c r="AS265" s="37"/>
      <c r="AT265" s="37"/>
      <c r="AU265" s="37"/>
      <c r="AV265" s="37"/>
      <c r="AW265" s="37"/>
      <c r="AX265" s="37"/>
      <c r="AY265" s="37"/>
      <c r="AZ265" s="37"/>
      <c r="BA265" s="37"/>
      <c r="BB265" s="37"/>
      <c r="BC265" s="37"/>
      <c r="BD265" s="37"/>
      <c r="BE265" s="37"/>
    </row>
    <row r="266" spans="2:57" s="31" customFormat="1" ht="15.5" x14ac:dyDescent="0.3">
      <c r="B266" s="54"/>
      <c r="C266" s="34"/>
      <c r="D266" s="59"/>
      <c r="E266" s="58"/>
      <c r="F266" s="58"/>
      <c r="G266" s="34"/>
      <c r="H266" s="84"/>
      <c r="J266" s="33"/>
      <c r="K266" s="34"/>
      <c r="L266" s="34"/>
      <c r="M266" s="84"/>
      <c r="N266" s="84"/>
      <c r="O266" s="84"/>
      <c r="Q266" s="35"/>
      <c r="R266" s="99"/>
      <c r="S266" s="36"/>
      <c r="T266" s="36"/>
      <c r="U266" s="36"/>
      <c r="V266" s="36"/>
      <c r="W266" s="36"/>
      <c r="X266" s="36"/>
      <c r="Y266" s="36"/>
      <c r="Z266" s="36"/>
      <c r="AA266" s="36"/>
      <c r="AB266" s="36"/>
      <c r="AC266" s="36"/>
      <c r="AD266" s="36"/>
      <c r="AE266" s="36"/>
      <c r="AF266" s="36"/>
      <c r="AG266" s="36"/>
      <c r="AH266" s="36"/>
      <c r="AI266" s="36"/>
      <c r="AJ266" s="36"/>
      <c r="AK266" s="36"/>
      <c r="AL266" s="36"/>
      <c r="AM266" s="36"/>
      <c r="AN266" s="37"/>
      <c r="AO266" s="37"/>
      <c r="AP266" s="37"/>
      <c r="AQ266" s="37"/>
      <c r="AR266" s="37"/>
      <c r="AS266" s="37"/>
      <c r="AT266" s="37"/>
      <c r="AU266" s="37"/>
      <c r="AV266" s="37"/>
      <c r="AW266" s="37"/>
      <c r="AX266" s="37"/>
      <c r="AY266" s="37"/>
      <c r="AZ266" s="37"/>
      <c r="BA266" s="37"/>
      <c r="BB266" s="37"/>
      <c r="BC266" s="37"/>
      <c r="BD266" s="37"/>
      <c r="BE266" s="37"/>
    </row>
    <row r="267" spans="2:57" s="298" customFormat="1" ht="18" x14ac:dyDescent="0.3">
      <c r="B267" s="295" t="s">
        <v>41</v>
      </c>
      <c r="C267" s="296"/>
      <c r="D267" s="297"/>
      <c r="G267" s="296"/>
      <c r="H267" s="297"/>
      <c r="K267" s="296"/>
      <c r="L267" s="296"/>
      <c r="M267" s="297"/>
      <c r="N267" s="297"/>
      <c r="O267" s="300"/>
      <c r="P267" s="320"/>
      <c r="Q267" s="304"/>
      <c r="S267" s="303"/>
      <c r="T267" s="303"/>
      <c r="U267" s="303"/>
      <c r="V267" s="303"/>
      <c r="W267" s="303"/>
      <c r="X267" s="303"/>
      <c r="Y267" s="303"/>
      <c r="Z267" s="303"/>
      <c r="AA267" s="303"/>
      <c r="AB267" s="303"/>
      <c r="AC267" s="303"/>
      <c r="AD267" s="303"/>
      <c r="AE267" s="303"/>
      <c r="AF267" s="303"/>
      <c r="AG267" s="303"/>
      <c r="AH267" s="303"/>
      <c r="AI267" s="303"/>
      <c r="AJ267" s="303"/>
      <c r="AK267" s="303"/>
      <c r="AL267" s="303"/>
      <c r="AM267" s="303"/>
      <c r="AN267" s="304"/>
      <c r="AO267" s="304"/>
      <c r="AP267" s="304"/>
      <c r="AQ267" s="304"/>
      <c r="AR267" s="304"/>
      <c r="AS267" s="304"/>
      <c r="AT267" s="304"/>
      <c r="AU267" s="304"/>
      <c r="AV267" s="304"/>
      <c r="AW267" s="304"/>
      <c r="AX267" s="304"/>
      <c r="AY267" s="304"/>
      <c r="AZ267" s="304"/>
      <c r="BA267" s="304"/>
      <c r="BB267" s="304"/>
      <c r="BC267" s="304"/>
      <c r="BD267" s="304"/>
      <c r="BE267" s="304"/>
    </row>
    <row r="268" spans="2:57" s="31" customFormat="1" ht="15.5" x14ac:dyDescent="0.3">
      <c r="B268" s="9"/>
      <c r="C268" s="34"/>
      <c r="D268" s="84"/>
      <c r="G268" s="34"/>
      <c r="H268" s="84"/>
      <c r="J268" s="33"/>
      <c r="K268" s="34"/>
      <c r="L268" s="34"/>
      <c r="M268" s="84"/>
      <c r="N268" s="84"/>
      <c r="O268" s="84"/>
      <c r="Q268" s="35"/>
      <c r="R268" s="99"/>
      <c r="S268" s="36"/>
      <c r="T268" s="36"/>
      <c r="U268" s="36"/>
      <c r="V268" s="36"/>
      <c r="W268" s="36"/>
      <c r="X268" s="36"/>
      <c r="Y268" s="36"/>
      <c r="Z268" s="36"/>
      <c r="AA268" s="36"/>
      <c r="AB268" s="36"/>
      <c r="AC268" s="36"/>
      <c r="AD268" s="36"/>
      <c r="AE268" s="36"/>
      <c r="AF268" s="36"/>
      <c r="AG268" s="36"/>
      <c r="AH268" s="36"/>
      <c r="AI268" s="36"/>
      <c r="AJ268" s="36"/>
      <c r="AK268" s="36"/>
      <c r="AL268" s="36"/>
      <c r="AM268" s="36"/>
      <c r="AN268" s="37"/>
      <c r="AO268" s="37"/>
      <c r="AP268" s="37"/>
      <c r="AQ268" s="37"/>
      <c r="AR268" s="37"/>
      <c r="AS268" s="37"/>
      <c r="AT268" s="37"/>
      <c r="AU268" s="37"/>
      <c r="AV268" s="37"/>
      <c r="AW268" s="37"/>
      <c r="AX268" s="37"/>
      <c r="AY268" s="37"/>
      <c r="AZ268" s="37"/>
      <c r="BA268" s="37"/>
      <c r="BB268" s="37"/>
      <c r="BC268" s="37"/>
      <c r="BD268" s="37"/>
      <c r="BE268" s="37"/>
    </row>
    <row r="269" spans="2:57" s="31" customFormat="1" ht="15.5" x14ac:dyDescent="0.3">
      <c r="B269" s="9" t="s">
        <v>597</v>
      </c>
      <c r="C269" s="34"/>
      <c r="D269" s="84"/>
      <c r="G269" s="34"/>
      <c r="H269" s="84"/>
      <c r="J269" s="33"/>
      <c r="K269" s="38"/>
      <c r="L269" s="38"/>
      <c r="M269" s="84"/>
      <c r="N269" s="84"/>
      <c r="O269" s="255" t="s">
        <v>644</v>
      </c>
      <c r="Q269" s="35"/>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7"/>
      <c r="AO269" s="37"/>
      <c r="AP269" s="37"/>
      <c r="AQ269" s="37"/>
      <c r="AR269" s="37"/>
      <c r="AS269" s="37"/>
      <c r="AT269" s="37"/>
      <c r="AU269" s="37"/>
      <c r="AV269" s="37"/>
      <c r="AW269" s="37"/>
      <c r="AX269" s="37"/>
      <c r="AY269" s="37"/>
      <c r="AZ269" s="37"/>
      <c r="BA269" s="37"/>
      <c r="BB269" s="37"/>
      <c r="BC269" s="37"/>
      <c r="BD269" s="37"/>
      <c r="BE269" s="37"/>
    </row>
    <row r="270" spans="2:57" s="31" customFormat="1" ht="15.5" x14ac:dyDescent="0.3">
      <c r="B270" s="9"/>
      <c r="C270" s="34"/>
      <c r="D270" s="84"/>
      <c r="G270" s="34"/>
      <c r="H270" s="84"/>
      <c r="J270" s="33"/>
      <c r="K270" s="38" t="s">
        <v>329</v>
      </c>
      <c r="L270" s="38" t="s">
        <v>201</v>
      </c>
      <c r="M270" s="84"/>
      <c r="N270" s="84"/>
      <c r="O270" s="256"/>
      <c r="Q270" s="35"/>
      <c r="R270" s="36" t="s">
        <v>350</v>
      </c>
      <c r="S270" s="36"/>
      <c r="T270" s="36"/>
      <c r="U270" s="36"/>
      <c r="V270" s="36"/>
      <c r="W270" s="36"/>
      <c r="X270" s="36"/>
      <c r="Y270" s="36"/>
      <c r="Z270" s="36"/>
      <c r="AA270" s="36"/>
      <c r="AB270" s="36"/>
      <c r="AC270" s="36"/>
      <c r="AD270" s="36"/>
      <c r="AE270" s="36"/>
      <c r="AF270" s="36"/>
      <c r="AG270" s="36"/>
      <c r="AH270" s="36"/>
      <c r="AI270" s="36"/>
      <c r="AJ270" s="36"/>
      <c r="AK270" s="36"/>
      <c r="AL270" s="36"/>
      <c r="AM270" s="36"/>
      <c r="AN270" s="37"/>
      <c r="AO270" s="37"/>
      <c r="AP270" s="37"/>
      <c r="AQ270" s="37"/>
      <c r="AR270" s="37"/>
      <c r="AS270" s="37"/>
      <c r="AT270" s="37"/>
      <c r="AU270" s="37"/>
      <c r="AV270" s="37"/>
      <c r="AW270" s="37"/>
      <c r="AX270" s="37"/>
      <c r="AY270" s="37"/>
      <c r="AZ270" s="37"/>
      <c r="BA270" s="37"/>
      <c r="BB270" s="37"/>
      <c r="BC270" s="37"/>
      <c r="BD270" s="37"/>
      <c r="BE270" s="37"/>
    </row>
    <row r="271" spans="2:57" s="31" customFormat="1" ht="31" x14ac:dyDescent="0.3">
      <c r="B271" s="86" t="s">
        <v>551</v>
      </c>
      <c r="C271" s="160"/>
      <c r="D271" s="84" t="s">
        <v>175</v>
      </c>
      <c r="G271" s="34"/>
      <c r="H271" s="84"/>
      <c r="J271" s="33" t="s">
        <v>565</v>
      </c>
      <c r="K271" s="96">
        <f>IF(ISNUMBER(L271),L271,Muut!$H$28*IF(OR(C272=Pudotusvalikot!$V$3,C272=Pudotusvalikot!$V$4),Muut!$E$38,IF(C272=Pudotusvalikot!$V$5,Muut!$E$39,IF(C272=Pudotusvalikot!$V$6,Muut!$E$40,Muut!$E$41))))</f>
        <v>0.22753333333333334</v>
      </c>
      <c r="L271" s="63"/>
      <c r="M271" s="41" t="s">
        <v>226</v>
      </c>
      <c r="N271" s="41"/>
      <c r="O271" s="265"/>
      <c r="Q271" s="35"/>
      <c r="R271" s="109" t="str">
        <f>IF(AND(ISNUMBER(K271),ISNUMBER(C271)),K271*C271,"")</f>
        <v/>
      </c>
      <c r="S271" s="102" t="s">
        <v>172</v>
      </c>
      <c r="T271" s="61"/>
      <c r="U271" s="61"/>
      <c r="V271" s="61"/>
      <c r="W271" s="36"/>
      <c r="X271" s="36"/>
      <c r="Y271" s="36"/>
      <c r="Z271" s="36"/>
      <c r="AA271" s="36"/>
      <c r="AB271" s="36"/>
      <c r="AC271" s="36"/>
      <c r="AD271" s="36"/>
      <c r="AE271" s="36"/>
      <c r="AF271" s="36"/>
      <c r="AG271" s="36"/>
      <c r="AH271" s="36"/>
      <c r="AI271" s="36"/>
      <c r="AJ271" s="36"/>
      <c r="AK271" s="36"/>
      <c r="AL271" s="36"/>
      <c r="AM271" s="36"/>
      <c r="AN271" s="37"/>
      <c r="AO271" s="37"/>
      <c r="AP271" s="37"/>
      <c r="AQ271" s="37"/>
      <c r="AR271" s="37"/>
      <c r="AS271" s="37"/>
      <c r="AT271" s="37"/>
      <c r="AU271" s="37"/>
      <c r="AV271" s="37"/>
      <c r="AW271" s="37"/>
      <c r="AX271" s="37"/>
      <c r="AY271" s="37"/>
      <c r="AZ271" s="37"/>
      <c r="BA271" s="37"/>
      <c r="BB271" s="37"/>
      <c r="BC271" s="37"/>
      <c r="BD271" s="37"/>
      <c r="BE271" s="37"/>
    </row>
    <row r="272" spans="2:57" s="31" customFormat="1" ht="15.5" x14ac:dyDescent="0.3">
      <c r="B272" s="170" t="s">
        <v>509</v>
      </c>
      <c r="C272" s="160" t="s">
        <v>242</v>
      </c>
      <c r="D272" s="34"/>
      <c r="E272" s="34"/>
      <c r="F272" s="34"/>
      <c r="G272" s="34"/>
      <c r="H272" s="34"/>
      <c r="I272" s="34"/>
      <c r="J272" s="173"/>
      <c r="K272" s="173"/>
      <c r="L272" s="173"/>
      <c r="M272" s="41"/>
      <c r="N272" s="41"/>
      <c r="O272" s="265"/>
      <c r="Q272" s="47"/>
      <c r="R272" s="61"/>
      <c r="S272" s="102"/>
      <c r="T272" s="36"/>
      <c r="U272" s="36"/>
      <c r="V272" s="181"/>
      <c r="W272" s="181"/>
      <c r="X272" s="61"/>
      <c r="Y272" s="36"/>
      <c r="Z272" s="61"/>
      <c r="AA272" s="182"/>
      <c r="AB272" s="61"/>
      <c r="AC272" s="61"/>
      <c r="AD272" s="61"/>
      <c r="AE272" s="61"/>
      <c r="AF272" s="182"/>
      <c r="AG272" s="61"/>
      <c r="AH272" s="36"/>
      <c r="AI272" s="36"/>
      <c r="AJ272" s="36"/>
      <c r="AK272" s="108"/>
      <c r="AL272" s="36"/>
      <c r="AM272" s="36"/>
      <c r="AN272" s="37"/>
      <c r="AO272" s="37"/>
      <c r="AP272" s="37"/>
      <c r="AQ272" s="37"/>
      <c r="AR272" s="37"/>
      <c r="AS272" s="37"/>
      <c r="AT272" s="37"/>
      <c r="AU272" s="37"/>
      <c r="AV272" s="37"/>
      <c r="AW272" s="37"/>
      <c r="AX272" s="37"/>
      <c r="AY272" s="37"/>
      <c r="AZ272" s="37"/>
      <c r="BA272" s="37"/>
      <c r="BB272" s="37"/>
      <c r="BC272" s="37"/>
      <c r="BD272" s="37"/>
      <c r="BE272" s="37"/>
    </row>
    <row r="273" spans="2:57" s="31" customFormat="1" ht="46.5" x14ac:dyDescent="0.3">
      <c r="B273" s="86" t="s">
        <v>527</v>
      </c>
      <c r="F273" s="34"/>
      <c r="G273" s="34"/>
      <c r="H273" s="34"/>
      <c r="I273" s="34"/>
      <c r="K273" s="38" t="s">
        <v>329</v>
      </c>
      <c r="L273" s="38" t="s">
        <v>201</v>
      </c>
      <c r="M273" s="84"/>
      <c r="N273" s="84"/>
      <c r="O273" s="100"/>
      <c r="Q273" s="35"/>
      <c r="R273" s="36" t="s">
        <v>350</v>
      </c>
      <c r="S273" s="108"/>
      <c r="T273" s="36"/>
      <c r="U273" s="36"/>
      <c r="V273" s="36"/>
      <c r="W273" s="36"/>
      <c r="X273" s="36"/>
      <c r="Y273" s="36"/>
      <c r="Z273" s="36"/>
      <c r="AA273" s="36"/>
      <c r="AB273" s="36"/>
      <c r="AC273" s="36"/>
      <c r="AD273" s="36"/>
      <c r="AE273" s="36"/>
      <c r="AF273" s="36"/>
      <c r="AG273" s="36"/>
      <c r="AH273" s="36"/>
      <c r="AI273" s="36"/>
      <c r="AJ273" s="36"/>
      <c r="AK273" s="36"/>
      <c r="AL273" s="36"/>
      <c r="AM273" s="36"/>
      <c r="AN273" s="37"/>
      <c r="AO273" s="37"/>
      <c r="AP273" s="37"/>
      <c r="AQ273" s="37"/>
      <c r="AR273" s="37"/>
      <c r="AS273" s="37"/>
      <c r="AT273" s="37"/>
      <c r="AU273" s="37"/>
      <c r="AV273" s="37"/>
      <c r="AW273" s="37"/>
      <c r="AX273" s="37"/>
      <c r="AY273" s="37"/>
      <c r="AZ273" s="37"/>
      <c r="BA273" s="37"/>
      <c r="BB273" s="37"/>
      <c r="BC273" s="37"/>
      <c r="BD273" s="37"/>
      <c r="BE273" s="37"/>
    </row>
    <row r="274" spans="2:57" s="31" customFormat="1" ht="15.5" x14ac:dyDescent="0.3">
      <c r="B274" s="136" t="s">
        <v>555</v>
      </c>
      <c r="C274" s="66"/>
      <c r="D274" s="84" t="s">
        <v>52</v>
      </c>
      <c r="G274" s="34"/>
      <c r="H274" s="84"/>
      <c r="J274" s="33" t="s">
        <v>382</v>
      </c>
      <c r="K274" s="138">
        <f>IF(ISNUMBER(L274),L274,Muut!$H$30)</f>
        <v>33.857142857142854</v>
      </c>
      <c r="L274" s="63"/>
      <c r="M274" s="41" t="s">
        <v>277</v>
      </c>
      <c r="N274" s="41"/>
      <c r="O274" s="265"/>
      <c r="Q274" s="35"/>
      <c r="R274" s="109" t="str">
        <f>IF(AND(ISNUMBER(K274),ISNUMBER(C274)),K274*C274,"")</f>
        <v/>
      </c>
      <c r="S274" s="102" t="s">
        <v>172</v>
      </c>
      <c r="T274" s="36"/>
      <c r="U274" s="36"/>
      <c r="V274" s="36"/>
      <c r="W274" s="36"/>
      <c r="X274" s="36"/>
      <c r="Y274" s="36"/>
      <c r="Z274" s="36"/>
      <c r="AA274" s="36"/>
      <c r="AB274" s="36"/>
      <c r="AC274" s="36"/>
      <c r="AD274" s="36"/>
      <c r="AE274" s="36"/>
      <c r="AF274" s="36"/>
      <c r="AG274" s="36"/>
      <c r="AH274" s="36"/>
      <c r="AI274" s="36"/>
      <c r="AJ274" s="36"/>
      <c r="AK274" s="36"/>
      <c r="AL274" s="36"/>
      <c r="AM274" s="36"/>
      <c r="AN274" s="37"/>
      <c r="AO274" s="37"/>
      <c r="AP274" s="37"/>
      <c r="AQ274" s="37"/>
      <c r="AR274" s="37"/>
      <c r="AS274" s="37"/>
      <c r="AT274" s="37"/>
      <c r="AU274" s="37"/>
      <c r="AV274" s="37"/>
      <c r="AW274" s="37"/>
      <c r="AX274" s="37"/>
      <c r="AY274" s="37"/>
      <c r="AZ274" s="37"/>
      <c r="BA274" s="37"/>
      <c r="BB274" s="37"/>
      <c r="BC274" s="37"/>
      <c r="BD274" s="37"/>
      <c r="BE274" s="37"/>
    </row>
    <row r="275" spans="2:57" s="31" customFormat="1" ht="31" x14ac:dyDescent="0.3">
      <c r="B275" s="170" t="s">
        <v>570</v>
      </c>
      <c r="C275" s="160"/>
      <c r="D275" s="84" t="s">
        <v>8</v>
      </c>
      <c r="E275" s="34"/>
      <c r="F275" s="34"/>
      <c r="G275" s="34"/>
      <c r="H275" s="84"/>
      <c r="J275" s="33" t="s">
        <v>560</v>
      </c>
      <c r="K275" s="96" t="str">
        <f>IF(ISNUMBER(L275),L275,"")</f>
        <v/>
      </c>
      <c r="L275" s="185"/>
      <c r="M275" s="41" t="s">
        <v>277</v>
      </c>
      <c r="N275" s="41"/>
      <c r="O275" s="265"/>
      <c r="Q275" s="35"/>
      <c r="R275" s="109" t="str">
        <f>IF(AND(ISNUMBER(K275),ISNUMBER(C275)),-K275*C275,"")</f>
        <v/>
      </c>
      <c r="S275" s="102" t="s">
        <v>172</v>
      </c>
      <c r="T275" s="135" t="s">
        <v>383</v>
      </c>
      <c r="U275" s="36"/>
      <c r="V275" s="36"/>
      <c r="W275" s="36"/>
      <c r="X275" s="36"/>
      <c r="Y275" s="36"/>
      <c r="Z275" s="36"/>
      <c r="AA275" s="36"/>
      <c r="AB275" s="36"/>
      <c r="AC275" s="36"/>
      <c r="AD275" s="36"/>
      <c r="AE275" s="36"/>
      <c r="AF275" s="36"/>
      <c r="AG275" s="36"/>
      <c r="AH275" s="36"/>
      <c r="AI275" s="36"/>
      <c r="AJ275" s="36"/>
      <c r="AK275" s="36"/>
      <c r="AL275" s="36"/>
      <c r="AM275" s="36"/>
      <c r="AN275" s="37"/>
      <c r="AO275" s="37"/>
      <c r="AP275" s="37"/>
      <c r="AQ275" s="37"/>
      <c r="AR275" s="37"/>
      <c r="AS275" s="37"/>
      <c r="AT275" s="37"/>
      <c r="AU275" s="37"/>
      <c r="AV275" s="37"/>
      <c r="AW275" s="37"/>
      <c r="AX275" s="37"/>
      <c r="AY275" s="37"/>
      <c r="AZ275" s="37"/>
      <c r="BA275" s="37"/>
      <c r="BB275" s="37"/>
      <c r="BC275" s="37"/>
      <c r="BD275" s="37"/>
      <c r="BE275" s="37"/>
    </row>
    <row r="276" spans="2:57" s="31" customFormat="1" ht="15.5" x14ac:dyDescent="0.3">
      <c r="B276" s="170" t="s">
        <v>571</v>
      </c>
      <c r="C276" s="160"/>
      <c r="D276" s="84" t="s">
        <v>8</v>
      </c>
      <c r="E276" s="34"/>
      <c r="F276" s="34"/>
      <c r="G276" s="34"/>
      <c r="H276" s="84"/>
      <c r="J276" s="33" t="s">
        <v>564</v>
      </c>
      <c r="K276" s="96" t="str">
        <f>IF(ISNUMBER(L276),L276,"")</f>
        <v/>
      </c>
      <c r="L276" s="185"/>
      <c r="M276" s="41" t="s">
        <v>277</v>
      </c>
      <c r="N276" s="41"/>
      <c r="O276" s="265"/>
      <c r="Q276" s="35"/>
      <c r="R276" s="109" t="str">
        <f>IF(AND(ISNUMBER(K276),ISNUMBER(C276)),-K276*C276,"")</f>
        <v/>
      </c>
      <c r="S276" s="102" t="s">
        <v>172</v>
      </c>
      <c r="T276" s="135" t="s">
        <v>383</v>
      </c>
      <c r="U276" s="36"/>
      <c r="V276" s="36"/>
      <c r="W276" s="36"/>
      <c r="X276" s="36"/>
      <c r="Y276" s="36"/>
      <c r="Z276" s="36"/>
      <c r="AA276" s="36"/>
      <c r="AB276" s="36"/>
      <c r="AC276" s="36"/>
      <c r="AD276" s="36"/>
      <c r="AE276" s="36"/>
      <c r="AF276" s="36"/>
      <c r="AG276" s="36"/>
      <c r="AH276" s="36"/>
      <c r="AI276" s="36"/>
      <c r="AJ276" s="36"/>
      <c r="AK276" s="36"/>
      <c r="AL276" s="36"/>
      <c r="AM276" s="36"/>
      <c r="AN276" s="37"/>
      <c r="AO276" s="37"/>
      <c r="AP276" s="37"/>
      <c r="AQ276" s="37"/>
      <c r="AR276" s="37"/>
      <c r="AS276" s="37"/>
      <c r="AT276" s="37"/>
      <c r="AU276" s="37"/>
      <c r="AV276" s="37"/>
      <c r="AW276" s="37"/>
      <c r="AX276" s="37"/>
      <c r="AY276" s="37"/>
      <c r="AZ276" s="37"/>
      <c r="BA276" s="37"/>
      <c r="BB276" s="37"/>
      <c r="BC276" s="37"/>
      <c r="BD276" s="37"/>
      <c r="BE276" s="37"/>
    </row>
    <row r="277" spans="2:57" s="31" customFormat="1" ht="15.5" x14ac:dyDescent="0.3">
      <c r="B277" s="136" t="s">
        <v>556</v>
      </c>
      <c r="C277" s="66"/>
      <c r="D277" s="84" t="s">
        <v>52</v>
      </c>
      <c r="G277" s="34"/>
      <c r="H277" s="84"/>
      <c r="J277" s="33" t="s">
        <v>382</v>
      </c>
      <c r="K277" s="138">
        <f>IF(ISNUMBER(L277),L277,Muut!$H$30)</f>
        <v>33.857142857142854</v>
      </c>
      <c r="L277" s="63"/>
      <c r="M277" s="41" t="s">
        <v>277</v>
      </c>
      <c r="N277" s="41"/>
      <c r="O277" s="265"/>
      <c r="Q277" s="35"/>
      <c r="R277" s="109" t="str">
        <f>IF(AND(ISNUMBER(K277),ISNUMBER(C277)),K277*C277,"")</f>
        <v/>
      </c>
      <c r="S277" s="102" t="s">
        <v>172</v>
      </c>
      <c r="T277" s="36"/>
      <c r="U277" s="36"/>
      <c r="V277" s="36"/>
      <c r="W277" s="36"/>
      <c r="X277" s="36"/>
      <c r="Y277" s="36"/>
      <c r="Z277" s="36"/>
      <c r="AA277" s="36"/>
      <c r="AB277" s="36"/>
      <c r="AC277" s="36"/>
      <c r="AD277" s="36"/>
      <c r="AE277" s="36"/>
      <c r="AF277" s="36"/>
      <c r="AG277" s="36"/>
      <c r="AH277" s="36"/>
      <c r="AI277" s="36"/>
      <c r="AJ277" s="36"/>
      <c r="AK277" s="36"/>
      <c r="AL277" s="36"/>
      <c r="AM277" s="36"/>
      <c r="AN277" s="37"/>
      <c r="AO277" s="37"/>
      <c r="AP277" s="37"/>
      <c r="AQ277" s="37"/>
      <c r="AR277" s="37"/>
      <c r="AS277" s="37"/>
      <c r="AT277" s="37"/>
      <c r="AU277" s="37"/>
      <c r="AV277" s="37"/>
      <c r="AW277" s="37"/>
      <c r="AX277" s="37"/>
      <c r="AY277" s="37"/>
      <c r="AZ277" s="37"/>
      <c r="BA277" s="37"/>
      <c r="BB277" s="37"/>
      <c r="BC277" s="37"/>
      <c r="BD277" s="37"/>
      <c r="BE277" s="37"/>
    </row>
    <row r="278" spans="2:57" s="31" customFormat="1" ht="15.5" x14ac:dyDescent="0.3">
      <c r="B278" s="170" t="s">
        <v>572</v>
      </c>
      <c r="C278" s="160"/>
      <c r="D278" s="84" t="s">
        <v>8</v>
      </c>
      <c r="G278" s="34"/>
      <c r="H278" s="84"/>
      <c r="J278" s="33" t="s">
        <v>560</v>
      </c>
      <c r="K278" s="96" t="str">
        <f>IF(ISNUMBER(L278),L278,"")</f>
        <v/>
      </c>
      <c r="L278" s="185"/>
      <c r="M278" s="41" t="s">
        <v>277</v>
      </c>
      <c r="N278" s="41"/>
      <c r="O278" s="265"/>
      <c r="Q278" s="35"/>
      <c r="R278" s="109" t="str">
        <f>IF(AND(ISNUMBER(K278),ISNUMBER(C278)),-K278*C278,"")</f>
        <v/>
      </c>
      <c r="S278" s="102" t="s">
        <v>172</v>
      </c>
      <c r="T278" s="135" t="s">
        <v>383</v>
      </c>
      <c r="U278" s="36"/>
      <c r="V278" s="36"/>
      <c r="W278" s="36"/>
      <c r="X278" s="36"/>
      <c r="Y278" s="36"/>
      <c r="Z278" s="36"/>
      <c r="AA278" s="36"/>
      <c r="AB278" s="36"/>
      <c r="AC278" s="36"/>
      <c r="AD278" s="36"/>
      <c r="AE278" s="36"/>
      <c r="AF278" s="36"/>
      <c r="AG278" s="36"/>
      <c r="AH278" s="36"/>
      <c r="AI278" s="36"/>
      <c r="AJ278" s="36"/>
      <c r="AK278" s="36"/>
      <c r="AL278" s="36"/>
      <c r="AM278" s="36"/>
      <c r="AN278" s="37"/>
      <c r="AO278" s="37"/>
      <c r="AP278" s="37"/>
      <c r="AQ278" s="37"/>
      <c r="AR278" s="37"/>
      <c r="AS278" s="37"/>
      <c r="AT278" s="37"/>
      <c r="AU278" s="37"/>
      <c r="AV278" s="37"/>
      <c r="AW278" s="37"/>
      <c r="AX278" s="37"/>
      <c r="AY278" s="37"/>
      <c r="AZ278" s="37"/>
      <c r="BA278" s="37"/>
      <c r="BB278" s="37"/>
      <c r="BC278" s="37"/>
      <c r="BD278" s="37"/>
      <c r="BE278" s="37"/>
    </row>
    <row r="279" spans="2:57" s="31" customFormat="1" ht="15.5" x14ac:dyDescent="0.3">
      <c r="B279" s="170" t="s">
        <v>571</v>
      </c>
      <c r="C279" s="160"/>
      <c r="D279" s="84" t="s">
        <v>8</v>
      </c>
      <c r="E279" s="34"/>
      <c r="F279" s="34"/>
      <c r="G279" s="34"/>
      <c r="H279" s="84"/>
      <c r="J279" s="33" t="s">
        <v>564</v>
      </c>
      <c r="K279" s="96" t="str">
        <f>IF(ISNUMBER(L279),L279,"")</f>
        <v/>
      </c>
      <c r="L279" s="185"/>
      <c r="M279" s="41" t="s">
        <v>277</v>
      </c>
      <c r="N279" s="41"/>
      <c r="O279" s="265"/>
      <c r="Q279" s="35"/>
      <c r="R279" s="109" t="str">
        <f>IF(AND(ISNUMBER(K279),ISNUMBER(C279)),-K279*C279,"")</f>
        <v/>
      </c>
      <c r="S279" s="102" t="s">
        <v>172</v>
      </c>
      <c r="T279" s="135" t="s">
        <v>383</v>
      </c>
      <c r="U279" s="36"/>
      <c r="V279" s="36"/>
      <c r="W279" s="36"/>
      <c r="X279" s="36"/>
      <c r="Y279" s="36"/>
      <c r="Z279" s="36"/>
      <c r="AA279" s="36"/>
      <c r="AB279" s="36"/>
      <c r="AC279" s="36"/>
      <c r="AD279" s="36"/>
      <c r="AE279" s="36"/>
      <c r="AF279" s="36"/>
      <c r="AG279" s="36"/>
      <c r="AH279" s="36"/>
      <c r="AI279" s="36"/>
      <c r="AJ279" s="36"/>
      <c r="AK279" s="36"/>
      <c r="AL279" s="36"/>
      <c r="AM279" s="36"/>
      <c r="AN279" s="37"/>
      <c r="AO279" s="37"/>
      <c r="AP279" s="37"/>
      <c r="AQ279" s="37"/>
      <c r="AR279" s="37"/>
      <c r="AS279" s="37"/>
      <c r="AT279" s="37"/>
      <c r="AU279" s="37"/>
      <c r="AV279" s="37"/>
      <c r="AW279" s="37"/>
      <c r="AX279" s="37"/>
      <c r="AY279" s="37"/>
      <c r="AZ279" s="37"/>
      <c r="BA279" s="37"/>
      <c r="BB279" s="37"/>
      <c r="BC279" s="37"/>
      <c r="BD279" s="37"/>
      <c r="BE279" s="37"/>
    </row>
    <row r="280" spans="2:57" s="31" customFormat="1" ht="15.5" x14ac:dyDescent="0.3">
      <c r="B280" s="136" t="s">
        <v>557</v>
      </c>
      <c r="C280" s="66"/>
      <c r="D280" s="84" t="s">
        <v>52</v>
      </c>
      <c r="G280" s="34"/>
      <c r="H280" s="84"/>
      <c r="J280" s="33" t="s">
        <v>382</v>
      </c>
      <c r="K280" s="138">
        <f>IF(ISNUMBER(L280),L280,Muut!$H$30)</f>
        <v>33.857142857142854</v>
      </c>
      <c r="L280" s="63"/>
      <c r="M280" s="41" t="s">
        <v>277</v>
      </c>
      <c r="N280" s="41"/>
      <c r="O280" s="265"/>
      <c r="Q280" s="35"/>
      <c r="R280" s="109" t="str">
        <f>IF(AND(ISNUMBER(K280),ISNUMBER(C280)),K280*C280,"")</f>
        <v/>
      </c>
      <c r="S280" s="102" t="s">
        <v>172</v>
      </c>
      <c r="T280" s="36"/>
      <c r="U280" s="36"/>
      <c r="V280" s="36"/>
      <c r="W280" s="36"/>
      <c r="X280" s="36"/>
      <c r="Y280" s="36"/>
      <c r="Z280" s="36"/>
      <c r="AA280" s="36"/>
      <c r="AB280" s="36"/>
      <c r="AC280" s="36"/>
      <c r="AD280" s="36"/>
      <c r="AE280" s="36"/>
      <c r="AF280" s="36"/>
      <c r="AG280" s="36"/>
      <c r="AH280" s="36"/>
      <c r="AI280" s="36"/>
      <c r="AJ280" s="36"/>
      <c r="AK280" s="36"/>
      <c r="AL280" s="36"/>
      <c r="AM280" s="36"/>
      <c r="AN280" s="37"/>
      <c r="AO280" s="37"/>
      <c r="AP280" s="37"/>
      <c r="AQ280" s="37"/>
      <c r="AR280" s="37"/>
      <c r="AS280" s="37"/>
      <c r="AT280" s="37"/>
      <c r="AU280" s="37"/>
      <c r="AV280" s="37"/>
      <c r="AW280" s="37"/>
      <c r="AX280" s="37"/>
      <c r="AY280" s="37"/>
      <c r="AZ280" s="37"/>
      <c r="BA280" s="37"/>
      <c r="BB280" s="37"/>
      <c r="BC280" s="37"/>
      <c r="BD280" s="37"/>
      <c r="BE280" s="37"/>
    </row>
    <row r="281" spans="2:57" s="31" customFormat="1" ht="15.5" x14ac:dyDescent="0.3">
      <c r="B281" s="170" t="s">
        <v>572</v>
      </c>
      <c r="C281" s="160"/>
      <c r="D281" s="84" t="s">
        <v>8</v>
      </c>
      <c r="E281" s="34"/>
      <c r="F281" s="34"/>
      <c r="G281" s="34"/>
      <c r="H281" s="84"/>
      <c r="J281" s="33" t="s">
        <v>560</v>
      </c>
      <c r="K281" s="96" t="str">
        <f>IF(ISNUMBER(L281),L281,"")</f>
        <v/>
      </c>
      <c r="L281" s="185"/>
      <c r="M281" s="41" t="s">
        <v>277</v>
      </c>
      <c r="N281" s="41"/>
      <c r="O281" s="265"/>
      <c r="Q281" s="35"/>
      <c r="R281" s="109" t="str">
        <f>IF(AND(ISNUMBER(K281),ISNUMBER(C281)),-K281*C281,"")</f>
        <v/>
      </c>
      <c r="S281" s="102" t="s">
        <v>172</v>
      </c>
      <c r="T281" s="135" t="s">
        <v>383</v>
      </c>
      <c r="U281" s="36"/>
      <c r="V281" s="36"/>
      <c r="W281" s="36"/>
      <c r="X281" s="36"/>
      <c r="Y281" s="36"/>
      <c r="Z281" s="36"/>
      <c r="AA281" s="36"/>
      <c r="AB281" s="36"/>
      <c r="AC281" s="36"/>
      <c r="AD281" s="36"/>
      <c r="AE281" s="36"/>
      <c r="AF281" s="36"/>
      <c r="AG281" s="36"/>
      <c r="AH281" s="36"/>
      <c r="AI281" s="36"/>
      <c r="AJ281" s="36"/>
      <c r="AK281" s="36"/>
      <c r="AL281" s="36"/>
      <c r="AM281" s="36"/>
      <c r="AN281" s="37"/>
      <c r="AO281" s="37"/>
      <c r="AP281" s="37"/>
      <c r="AQ281" s="37"/>
      <c r="AR281" s="37"/>
      <c r="AS281" s="37"/>
      <c r="AT281" s="37"/>
      <c r="AU281" s="37"/>
      <c r="AV281" s="37"/>
      <c r="AW281" s="37"/>
      <c r="AX281" s="37"/>
      <c r="AY281" s="37"/>
      <c r="AZ281" s="37"/>
      <c r="BA281" s="37"/>
      <c r="BB281" s="37"/>
      <c r="BC281" s="37"/>
      <c r="BD281" s="37"/>
      <c r="BE281" s="37"/>
    </row>
    <row r="282" spans="2:57" s="31" customFormat="1" ht="15.5" x14ac:dyDescent="0.3">
      <c r="B282" s="170" t="s">
        <v>571</v>
      </c>
      <c r="C282" s="160"/>
      <c r="D282" s="84" t="s">
        <v>8</v>
      </c>
      <c r="E282" s="34"/>
      <c r="F282" s="34"/>
      <c r="G282" s="34"/>
      <c r="H282" s="84"/>
      <c r="J282" s="33" t="s">
        <v>564</v>
      </c>
      <c r="K282" s="96" t="str">
        <f>IF(ISNUMBER(L282),L282,"")</f>
        <v/>
      </c>
      <c r="L282" s="185"/>
      <c r="M282" s="41" t="s">
        <v>277</v>
      </c>
      <c r="N282" s="41"/>
      <c r="O282" s="265"/>
      <c r="Q282" s="35"/>
      <c r="R282" s="109" t="str">
        <f>IF(AND(ISNUMBER(K282),ISNUMBER(C282)),-K282*C282,"")</f>
        <v/>
      </c>
      <c r="S282" s="102" t="s">
        <v>172</v>
      </c>
      <c r="T282" s="135" t="s">
        <v>383</v>
      </c>
      <c r="U282" s="36"/>
      <c r="V282" s="36"/>
      <c r="W282" s="36"/>
      <c r="X282" s="36"/>
      <c r="Y282" s="36"/>
      <c r="Z282" s="36"/>
      <c r="AA282" s="36"/>
      <c r="AB282" s="36"/>
      <c r="AC282" s="36"/>
      <c r="AD282" s="36"/>
      <c r="AE282" s="36"/>
      <c r="AF282" s="36"/>
      <c r="AG282" s="36"/>
      <c r="AH282" s="36"/>
      <c r="AI282" s="36"/>
      <c r="AJ282" s="36"/>
      <c r="AK282" s="36"/>
      <c r="AL282" s="36"/>
      <c r="AM282" s="36"/>
      <c r="AN282" s="37"/>
      <c r="AO282" s="37"/>
      <c r="AP282" s="37"/>
      <c r="AQ282" s="37"/>
      <c r="AR282" s="37"/>
      <c r="AS282" s="37"/>
      <c r="AT282" s="37"/>
      <c r="AU282" s="37"/>
      <c r="AV282" s="37"/>
      <c r="AW282" s="37"/>
      <c r="AX282" s="37"/>
      <c r="AY282" s="37"/>
      <c r="AZ282" s="37"/>
      <c r="BA282" s="37"/>
      <c r="BB282" s="37"/>
      <c r="BC282" s="37"/>
      <c r="BD282" s="37"/>
      <c r="BE282" s="37"/>
    </row>
    <row r="283" spans="2:57" s="31" customFormat="1" ht="15.5" x14ac:dyDescent="0.3">
      <c r="B283" s="136" t="s">
        <v>558</v>
      </c>
      <c r="C283" s="66"/>
      <c r="D283" s="84" t="s">
        <v>52</v>
      </c>
      <c r="G283" s="34"/>
      <c r="H283" s="84"/>
      <c r="J283" s="33" t="s">
        <v>382</v>
      </c>
      <c r="K283" s="138">
        <f>IF(ISNUMBER(L283),L283,Muut!$H$30)</f>
        <v>33.857142857142854</v>
      </c>
      <c r="L283" s="63"/>
      <c r="M283" s="41" t="s">
        <v>277</v>
      </c>
      <c r="N283" s="41"/>
      <c r="O283" s="265"/>
      <c r="Q283" s="35"/>
      <c r="R283" s="109" t="str">
        <f>IF(AND(ISNUMBER(K283),ISNUMBER(C283)),K283*C283,"")</f>
        <v/>
      </c>
      <c r="S283" s="102" t="s">
        <v>172</v>
      </c>
      <c r="T283" s="36"/>
      <c r="U283" s="36"/>
      <c r="V283" s="36"/>
      <c r="W283" s="36"/>
      <c r="X283" s="36"/>
      <c r="Y283" s="36"/>
      <c r="Z283" s="36"/>
      <c r="AA283" s="36"/>
      <c r="AB283" s="36"/>
      <c r="AC283" s="36"/>
      <c r="AD283" s="36"/>
      <c r="AE283" s="36"/>
      <c r="AF283" s="36"/>
      <c r="AG283" s="36"/>
      <c r="AH283" s="36"/>
      <c r="AI283" s="36"/>
      <c r="AJ283" s="36"/>
      <c r="AK283" s="36"/>
      <c r="AL283" s="36"/>
      <c r="AM283" s="36"/>
      <c r="AN283" s="37"/>
      <c r="AO283" s="37"/>
      <c r="AP283" s="37"/>
      <c r="AQ283" s="37"/>
      <c r="AR283" s="37"/>
      <c r="AS283" s="37"/>
      <c r="AT283" s="37"/>
      <c r="AU283" s="37"/>
      <c r="AV283" s="37"/>
      <c r="AW283" s="37"/>
      <c r="AX283" s="37"/>
      <c r="AY283" s="37"/>
      <c r="AZ283" s="37"/>
      <c r="BA283" s="37"/>
      <c r="BB283" s="37"/>
      <c r="BC283" s="37"/>
      <c r="BD283" s="37"/>
      <c r="BE283" s="37"/>
    </row>
    <row r="284" spans="2:57" s="31" customFormat="1" ht="15.5" x14ac:dyDescent="0.3">
      <c r="B284" s="170" t="s">
        <v>572</v>
      </c>
      <c r="C284" s="160"/>
      <c r="D284" s="84" t="s">
        <v>8</v>
      </c>
      <c r="E284" s="34"/>
      <c r="F284" s="34"/>
      <c r="G284" s="34"/>
      <c r="H284" s="84"/>
      <c r="J284" s="33" t="s">
        <v>560</v>
      </c>
      <c r="K284" s="96" t="str">
        <f>IF(ISNUMBER(L284),L284,"")</f>
        <v/>
      </c>
      <c r="L284" s="185"/>
      <c r="M284" s="41" t="s">
        <v>277</v>
      </c>
      <c r="N284" s="41"/>
      <c r="O284" s="265"/>
      <c r="Q284" s="35"/>
      <c r="R284" s="109" t="str">
        <f>IF(AND(ISNUMBER(K284),ISNUMBER(C284)),-K284*C284,"")</f>
        <v/>
      </c>
      <c r="S284" s="102" t="s">
        <v>172</v>
      </c>
      <c r="T284" s="135" t="s">
        <v>383</v>
      </c>
      <c r="U284" s="36"/>
      <c r="V284" s="36"/>
      <c r="W284" s="36"/>
      <c r="X284" s="36"/>
      <c r="Y284" s="36"/>
      <c r="Z284" s="36"/>
      <c r="AA284" s="36"/>
      <c r="AB284" s="36"/>
      <c r="AC284" s="36"/>
      <c r="AD284" s="36"/>
      <c r="AE284" s="36"/>
      <c r="AF284" s="36"/>
      <c r="AG284" s="36"/>
      <c r="AH284" s="36"/>
      <c r="AI284" s="36"/>
      <c r="AJ284" s="36"/>
      <c r="AK284" s="36"/>
      <c r="AL284" s="36"/>
      <c r="AM284" s="36"/>
      <c r="AN284" s="37"/>
      <c r="AO284" s="37"/>
      <c r="AP284" s="37"/>
      <c r="AQ284" s="37"/>
      <c r="AR284" s="37"/>
      <c r="AS284" s="37"/>
      <c r="AT284" s="37"/>
      <c r="AU284" s="37"/>
      <c r="AV284" s="37"/>
      <c r="AW284" s="37"/>
      <c r="AX284" s="37"/>
      <c r="AY284" s="37"/>
      <c r="AZ284" s="37"/>
      <c r="BA284" s="37"/>
      <c r="BB284" s="37"/>
      <c r="BC284" s="37"/>
      <c r="BD284" s="37"/>
      <c r="BE284" s="37"/>
    </row>
    <row r="285" spans="2:57" s="31" customFormat="1" ht="15.5" x14ac:dyDescent="0.3">
      <c r="B285" s="170" t="s">
        <v>571</v>
      </c>
      <c r="C285" s="160"/>
      <c r="D285" s="84" t="s">
        <v>8</v>
      </c>
      <c r="E285" s="34"/>
      <c r="F285" s="34"/>
      <c r="G285" s="34"/>
      <c r="H285" s="84"/>
      <c r="J285" s="33" t="s">
        <v>564</v>
      </c>
      <c r="K285" s="96" t="str">
        <f>IF(ISNUMBER(L285),L285,"")</f>
        <v/>
      </c>
      <c r="L285" s="185"/>
      <c r="M285" s="41" t="s">
        <v>277</v>
      </c>
      <c r="N285" s="41"/>
      <c r="O285" s="265"/>
      <c r="Q285" s="35"/>
      <c r="R285" s="109" t="str">
        <f>IF(AND(ISNUMBER(K285),ISNUMBER(C285)),-K285*C285,"")</f>
        <v/>
      </c>
      <c r="S285" s="102" t="s">
        <v>172</v>
      </c>
      <c r="T285" s="135" t="s">
        <v>383</v>
      </c>
      <c r="U285" s="36"/>
      <c r="V285" s="36"/>
      <c r="W285" s="36"/>
      <c r="X285" s="36"/>
      <c r="Y285" s="36"/>
      <c r="Z285" s="36"/>
      <c r="AA285" s="36"/>
      <c r="AB285" s="36"/>
      <c r="AC285" s="36"/>
      <c r="AD285" s="36"/>
      <c r="AE285" s="36"/>
      <c r="AF285" s="36"/>
      <c r="AG285" s="36"/>
      <c r="AH285" s="36"/>
      <c r="AI285" s="36"/>
      <c r="AJ285" s="36"/>
      <c r="AK285" s="36"/>
      <c r="AL285" s="36"/>
      <c r="AM285" s="36"/>
      <c r="AN285" s="37"/>
      <c r="AO285" s="37"/>
      <c r="AP285" s="37"/>
      <c r="AQ285" s="37"/>
      <c r="AR285" s="37"/>
      <c r="AS285" s="37"/>
      <c r="AT285" s="37"/>
      <c r="AU285" s="37"/>
      <c r="AV285" s="37"/>
      <c r="AW285" s="37"/>
      <c r="AX285" s="37"/>
      <c r="AY285" s="37"/>
      <c r="AZ285" s="37"/>
      <c r="BA285" s="37"/>
      <c r="BB285" s="37"/>
      <c r="BC285" s="37"/>
      <c r="BD285" s="37"/>
      <c r="BE285" s="37"/>
    </row>
    <row r="286" spans="2:57" s="31" customFormat="1" ht="15.5" x14ac:dyDescent="0.3">
      <c r="B286" s="136" t="s">
        <v>559</v>
      </c>
      <c r="C286" s="66"/>
      <c r="D286" s="84" t="s">
        <v>52</v>
      </c>
      <c r="G286" s="34"/>
      <c r="H286" s="84"/>
      <c r="J286" s="33" t="s">
        <v>382</v>
      </c>
      <c r="K286" s="138">
        <f>IF(ISNUMBER(L286),L286,Muut!$H$30)</f>
        <v>33.857142857142854</v>
      </c>
      <c r="L286" s="63"/>
      <c r="M286" s="41" t="s">
        <v>277</v>
      </c>
      <c r="N286" s="41"/>
      <c r="O286" s="265"/>
      <c r="Q286" s="35"/>
      <c r="R286" s="109" t="str">
        <f>IF(AND(ISNUMBER(K286),ISNUMBER(C286)),K286*C286,"")</f>
        <v/>
      </c>
      <c r="S286" s="102" t="s">
        <v>172</v>
      </c>
      <c r="T286" s="36"/>
      <c r="U286" s="36"/>
      <c r="V286" s="36"/>
      <c r="W286" s="36"/>
      <c r="X286" s="36"/>
      <c r="Y286" s="36"/>
      <c r="Z286" s="36"/>
      <c r="AA286" s="36"/>
      <c r="AB286" s="36"/>
      <c r="AC286" s="36"/>
      <c r="AD286" s="36"/>
      <c r="AE286" s="36"/>
      <c r="AF286" s="36"/>
      <c r="AG286" s="36"/>
      <c r="AH286" s="36"/>
      <c r="AI286" s="36"/>
      <c r="AJ286" s="36"/>
      <c r="AK286" s="36"/>
      <c r="AL286" s="36"/>
      <c r="AM286" s="36"/>
      <c r="AN286" s="37"/>
      <c r="AO286" s="37"/>
      <c r="AP286" s="37"/>
      <c r="AQ286" s="37"/>
      <c r="AR286" s="37"/>
      <c r="AS286" s="37"/>
      <c r="AT286" s="37"/>
      <c r="AU286" s="37"/>
      <c r="AV286" s="37"/>
      <c r="AW286" s="37"/>
      <c r="AX286" s="37"/>
      <c r="AY286" s="37"/>
      <c r="AZ286" s="37"/>
      <c r="BA286" s="37"/>
      <c r="BB286" s="37"/>
      <c r="BC286" s="37"/>
      <c r="BD286" s="37"/>
      <c r="BE286" s="37"/>
    </row>
    <row r="287" spans="2:57" s="31" customFormat="1" ht="15.5" x14ac:dyDescent="0.3">
      <c r="B287" s="170" t="s">
        <v>572</v>
      </c>
      <c r="C287" s="160"/>
      <c r="D287" s="84" t="s">
        <v>8</v>
      </c>
      <c r="E287" s="34"/>
      <c r="F287" s="34"/>
      <c r="G287" s="34"/>
      <c r="H287" s="84"/>
      <c r="J287" s="33" t="s">
        <v>560</v>
      </c>
      <c r="K287" s="96" t="str">
        <f>IF(ISNUMBER(L287),L287,"")</f>
        <v/>
      </c>
      <c r="L287" s="185"/>
      <c r="M287" s="41" t="s">
        <v>277</v>
      </c>
      <c r="N287" s="41"/>
      <c r="O287" s="265"/>
      <c r="Q287" s="35"/>
      <c r="R287" s="109" t="str">
        <f>IF(AND(ISNUMBER(K287),ISNUMBER(C287)),-K287*C287,"")</f>
        <v/>
      </c>
      <c r="S287" s="102" t="s">
        <v>172</v>
      </c>
      <c r="T287" s="135" t="s">
        <v>383</v>
      </c>
      <c r="U287" s="36"/>
      <c r="V287" s="36"/>
      <c r="W287" s="36"/>
      <c r="X287" s="36"/>
      <c r="Y287" s="36"/>
      <c r="Z287" s="36"/>
      <c r="AA287" s="36"/>
      <c r="AB287" s="36"/>
      <c r="AC287" s="36"/>
      <c r="AD287" s="36"/>
      <c r="AE287" s="36"/>
      <c r="AF287" s="36"/>
      <c r="AG287" s="36"/>
      <c r="AH287" s="36"/>
      <c r="AI287" s="36"/>
      <c r="AJ287" s="36"/>
      <c r="AK287" s="36"/>
      <c r="AL287" s="36"/>
      <c r="AM287" s="36"/>
      <c r="AN287" s="37"/>
      <c r="AO287" s="37"/>
      <c r="AP287" s="37"/>
      <c r="AQ287" s="37"/>
      <c r="AR287" s="37"/>
      <c r="AS287" s="37"/>
      <c r="AT287" s="37"/>
      <c r="AU287" s="37"/>
      <c r="AV287" s="37"/>
      <c r="AW287" s="37"/>
      <c r="AX287" s="37"/>
      <c r="AY287" s="37"/>
      <c r="AZ287" s="37"/>
      <c r="BA287" s="37"/>
      <c r="BB287" s="37"/>
      <c r="BC287" s="37"/>
      <c r="BD287" s="37"/>
      <c r="BE287" s="37"/>
    </row>
    <row r="288" spans="2:57" s="31" customFormat="1" ht="15.5" x14ac:dyDescent="0.3">
      <c r="B288" s="170" t="s">
        <v>571</v>
      </c>
      <c r="C288" s="160"/>
      <c r="D288" s="84" t="s">
        <v>8</v>
      </c>
      <c r="E288" s="34"/>
      <c r="F288" s="34"/>
      <c r="G288" s="34"/>
      <c r="H288" s="84"/>
      <c r="J288" s="33" t="s">
        <v>564</v>
      </c>
      <c r="K288" s="96" t="str">
        <f>IF(ISNUMBER(L288),L288,"")</f>
        <v/>
      </c>
      <c r="L288" s="185"/>
      <c r="M288" s="41" t="s">
        <v>277</v>
      </c>
      <c r="N288" s="41"/>
      <c r="O288" s="265"/>
      <c r="Q288" s="35"/>
      <c r="R288" s="109" t="str">
        <f>IF(AND(ISNUMBER(K288),ISNUMBER(C288)),-K288*C288,"")</f>
        <v/>
      </c>
      <c r="S288" s="102" t="s">
        <v>172</v>
      </c>
      <c r="T288" s="135" t="s">
        <v>383</v>
      </c>
      <c r="U288" s="36"/>
      <c r="V288" s="36"/>
      <c r="W288" s="36"/>
      <c r="X288" s="36"/>
      <c r="Y288" s="36"/>
      <c r="Z288" s="36"/>
      <c r="AA288" s="36"/>
      <c r="AB288" s="36"/>
      <c r="AC288" s="36"/>
      <c r="AD288" s="36"/>
      <c r="AE288" s="36"/>
      <c r="AF288" s="36"/>
      <c r="AG288" s="36"/>
      <c r="AH288" s="36"/>
      <c r="AI288" s="36"/>
      <c r="AJ288" s="36"/>
      <c r="AK288" s="36"/>
      <c r="AL288" s="36"/>
      <c r="AM288" s="36"/>
      <c r="AN288" s="37"/>
      <c r="AO288" s="37"/>
      <c r="AP288" s="37"/>
      <c r="AQ288" s="37"/>
      <c r="AR288" s="37"/>
      <c r="AS288" s="37"/>
      <c r="AT288" s="37"/>
      <c r="AU288" s="37"/>
      <c r="AV288" s="37"/>
      <c r="AW288" s="37"/>
      <c r="AX288" s="37"/>
      <c r="AY288" s="37"/>
      <c r="AZ288" s="37"/>
      <c r="BA288" s="37"/>
      <c r="BB288" s="37"/>
      <c r="BC288" s="37"/>
      <c r="BD288" s="37"/>
      <c r="BE288" s="37"/>
    </row>
    <row r="289" spans="2:59" s="31" customFormat="1" ht="15.5" x14ac:dyDescent="0.3">
      <c r="C289" s="34"/>
      <c r="D289" s="84"/>
      <c r="G289" s="34"/>
      <c r="H289" s="84"/>
      <c r="J289" s="33"/>
      <c r="K289" s="34"/>
      <c r="L289" s="34"/>
      <c r="M289" s="84"/>
      <c r="N289" s="84"/>
      <c r="O289" s="100"/>
      <c r="Q289" s="35"/>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7"/>
      <c r="AO289" s="37"/>
      <c r="AP289" s="37"/>
      <c r="AQ289" s="37"/>
      <c r="AR289" s="37"/>
      <c r="AS289" s="37"/>
      <c r="AT289" s="37"/>
      <c r="AU289" s="37"/>
      <c r="AV289" s="37"/>
      <c r="AW289" s="37"/>
      <c r="AX289" s="37"/>
      <c r="AY289" s="37"/>
      <c r="AZ289" s="37"/>
      <c r="BA289" s="37"/>
      <c r="BB289" s="37"/>
      <c r="BC289" s="37"/>
      <c r="BD289" s="37"/>
      <c r="BE289" s="37"/>
    </row>
    <row r="290" spans="2:59" s="31" customFormat="1" ht="15.5" x14ac:dyDescent="0.3">
      <c r="B290" s="9" t="s">
        <v>11</v>
      </c>
      <c r="C290" s="34"/>
      <c r="D290" s="84"/>
      <c r="G290" s="34"/>
      <c r="H290" s="84"/>
      <c r="J290" s="33"/>
      <c r="K290" s="38"/>
      <c r="L290" s="38"/>
      <c r="M290" s="84"/>
      <c r="N290" s="84"/>
      <c r="O290" s="100"/>
      <c r="Q290" s="35"/>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7"/>
      <c r="AO290" s="37"/>
      <c r="AP290" s="37"/>
      <c r="AQ290" s="37"/>
      <c r="AR290" s="37"/>
      <c r="AS290" s="37"/>
      <c r="AT290" s="37"/>
      <c r="AU290" s="37"/>
      <c r="AV290" s="37"/>
      <c r="AW290" s="37"/>
      <c r="AX290" s="37"/>
      <c r="AY290" s="37"/>
      <c r="AZ290" s="37"/>
      <c r="BA290" s="37"/>
      <c r="BB290" s="37"/>
      <c r="BC290" s="37"/>
      <c r="BD290" s="37"/>
      <c r="BE290" s="37"/>
    </row>
    <row r="291" spans="2:59" s="31" customFormat="1" ht="15.5" x14ac:dyDescent="0.3">
      <c r="B291" s="9"/>
      <c r="C291" s="34"/>
      <c r="D291" s="84"/>
      <c r="G291" s="34"/>
      <c r="H291" s="84"/>
      <c r="J291" s="33"/>
      <c r="K291" s="38" t="s">
        <v>329</v>
      </c>
      <c r="L291" s="38" t="s">
        <v>201</v>
      </c>
      <c r="M291" s="84"/>
      <c r="N291" s="84"/>
      <c r="O291" s="100"/>
      <c r="Q291" s="35"/>
      <c r="R291" s="36" t="s">
        <v>350</v>
      </c>
      <c r="S291" s="36"/>
      <c r="T291" s="36"/>
      <c r="U291" s="36"/>
      <c r="V291" s="36"/>
      <c r="W291" s="36"/>
      <c r="X291" s="36"/>
      <c r="Y291" s="36"/>
      <c r="Z291" s="36"/>
      <c r="AA291" s="36"/>
      <c r="AB291" s="36"/>
      <c r="AC291" s="36"/>
      <c r="AD291" s="36"/>
      <c r="AE291" s="36"/>
      <c r="AF291" s="36"/>
      <c r="AG291" s="36"/>
      <c r="AH291" s="36"/>
      <c r="AI291" s="36"/>
      <c r="AJ291" s="36"/>
      <c r="AK291" s="36"/>
      <c r="AL291" s="36"/>
      <c r="AM291" s="36"/>
      <c r="AN291" s="37"/>
      <c r="AO291" s="37"/>
      <c r="AP291" s="37"/>
      <c r="AQ291" s="37"/>
      <c r="AR291" s="37"/>
      <c r="AS291" s="37"/>
      <c r="AT291" s="37"/>
      <c r="AU291" s="37"/>
      <c r="AV291" s="37"/>
      <c r="AW291" s="37"/>
      <c r="AX291" s="37"/>
      <c r="AY291" s="37"/>
      <c r="AZ291" s="37"/>
      <c r="BA291" s="37"/>
      <c r="BB291" s="37"/>
      <c r="BC291" s="37"/>
      <c r="BD291" s="37"/>
      <c r="BE291" s="37"/>
    </row>
    <row r="292" spans="2:59" s="31" customFormat="1" ht="31" x14ac:dyDescent="0.3">
      <c r="B292" s="78" t="s">
        <v>515</v>
      </c>
      <c r="C292" s="160"/>
      <c r="D292" s="84" t="s">
        <v>175</v>
      </c>
      <c r="G292" s="34"/>
      <c r="H292" s="84"/>
      <c r="J292" s="33" t="s">
        <v>565</v>
      </c>
      <c r="K292" s="96">
        <f>IF(ISNUMBER(L292),L292,Muut!$H$28*IF(OR(C293=Pudotusvalikot!$V$3,C293=Pudotusvalikot!$V$4),Muut!$E$38,IF(C293=Pudotusvalikot!$V$5,Muut!$E$39,IF(C293=Pudotusvalikot!$V$6,Muut!$E$40,Muut!$E$41))))</f>
        <v>0.22753333333333334</v>
      </c>
      <c r="L292" s="63"/>
      <c r="M292" s="41" t="s">
        <v>226</v>
      </c>
      <c r="N292" s="41"/>
      <c r="O292" s="265"/>
      <c r="Q292" s="35"/>
      <c r="R292" s="109" t="str">
        <f>IF(AND(ISNUMBER(K292),ISNUMBER(C292)),K292*C292,"")</f>
        <v/>
      </c>
      <c r="S292" s="102" t="s">
        <v>172</v>
      </c>
      <c r="T292" s="61"/>
      <c r="U292" s="61"/>
      <c r="V292" s="61"/>
      <c r="W292" s="36"/>
      <c r="X292" s="36"/>
      <c r="Y292" s="36"/>
      <c r="Z292" s="36"/>
      <c r="AA292" s="36"/>
      <c r="AB292" s="36"/>
      <c r="AC292" s="36"/>
      <c r="AD292" s="36"/>
      <c r="AE292" s="36"/>
      <c r="AF292" s="36"/>
      <c r="AG292" s="36"/>
      <c r="AH292" s="36"/>
      <c r="AI292" s="36"/>
      <c r="AJ292" s="36"/>
      <c r="AK292" s="36"/>
      <c r="AL292" s="36"/>
      <c r="AM292" s="36"/>
      <c r="AN292" s="37"/>
      <c r="AO292" s="37"/>
      <c r="AP292" s="37"/>
      <c r="AQ292" s="37"/>
      <c r="AR292" s="37"/>
      <c r="AS292" s="37"/>
      <c r="AT292" s="37"/>
      <c r="AU292" s="37"/>
      <c r="AV292" s="37"/>
      <c r="AW292" s="37"/>
      <c r="AX292" s="37"/>
      <c r="AY292" s="37"/>
      <c r="AZ292" s="37"/>
      <c r="BA292" s="37"/>
      <c r="BB292" s="37"/>
      <c r="BC292" s="37"/>
      <c r="BD292" s="37"/>
      <c r="BE292" s="37"/>
    </row>
    <row r="293" spans="2:59" s="31" customFormat="1" ht="15.5" x14ac:dyDescent="0.3">
      <c r="B293" s="170" t="s">
        <v>509</v>
      </c>
      <c r="C293" s="160" t="s">
        <v>242</v>
      </c>
      <c r="D293" s="34"/>
      <c r="E293" s="34"/>
      <c r="F293" s="34"/>
      <c r="G293" s="34"/>
      <c r="H293" s="59"/>
      <c r="J293" s="173"/>
      <c r="K293" s="173"/>
      <c r="L293" s="173"/>
      <c r="M293" s="41"/>
      <c r="N293" s="41"/>
      <c r="O293" s="265"/>
      <c r="Q293" s="47"/>
      <c r="R293" s="61"/>
      <c r="S293" s="102"/>
      <c r="T293" s="36"/>
      <c r="U293" s="36"/>
      <c r="V293" s="181"/>
      <c r="W293" s="181"/>
      <c r="X293" s="61"/>
      <c r="Y293" s="36"/>
      <c r="Z293" s="61"/>
      <c r="AA293" s="182"/>
      <c r="AB293" s="61"/>
      <c r="AC293" s="61"/>
      <c r="AD293" s="61"/>
      <c r="AE293" s="61"/>
      <c r="AF293" s="182"/>
      <c r="AG293" s="61"/>
      <c r="AH293" s="36"/>
      <c r="AI293" s="36"/>
      <c r="AJ293" s="36"/>
      <c r="AK293" s="108"/>
      <c r="AL293" s="36"/>
      <c r="AM293" s="36"/>
      <c r="AN293" s="37"/>
      <c r="AO293" s="37"/>
      <c r="AP293" s="37"/>
      <c r="AQ293" s="37"/>
      <c r="AR293" s="37"/>
      <c r="AS293" s="37"/>
      <c r="AT293" s="37"/>
      <c r="AU293" s="37"/>
      <c r="AV293" s="37"/>
      <c r="AW293" s="37"/>
      <c r="AX293" s="37"/>
      <c r="AY293" s="37"/>
      <c r="AZ293" s="37"/>
      <c r="BA293" s="37"/>
      <c r="BB293" s="37"/>
      <c r="BC293" s="37"/>
      <c r="BD293" s="37"/>
      <c r="BE293" s="37"/>
    </row>
    <row r="294" spans="2:59" s="31" customFormat="1" ht="46.5" x14ac:dyDescent="0.3">
      <c r="B294" s="78" t="s">
        <v>596</v>
      </c>
      <c r="C294" s="160"/>
      <c r="D294" s="84" t="s">
        <v>175</v>
      </c>
      <c r="G294" s="34"/>
      <c r="H294" s="84"/>
      <c r="J294" s="33" t="s">
        <v>522</v>
      </c>
      <c r="K294" s="138">
        <f>IF(ISNUMBER(L294),L294,Muut!$H$29)</f>
        <v>9.4500000000000011</v>
      </c>
      <c r="L294" s="185"/>
      <c r="M294" s="41" t="s">
        <v>226</v>
      </c>
      <c r="N294" s="41"/>
      <c r="O294" s="265"/>
      <c r="Q294" s="35"/>
      <c r="R294" s="109" t="str">
        <f>IF(AND(ISNUMBER(K294),ISNUMBER(C294)),K294*C294,"")</f>
        <v/>
      </c>
      <c r="S294" s="102" t="s">
        <v>172</v>
      </c>
      <c r="T294" s="36"/>
      <c r="U294" s="36"/>
      <c r="V294" s="36"/>
      <c r="W294" s="36"/>
      <c r="X294" s="36"/>
      <c r="Y294" s="36"/>
      <c r="Z294" s="36"/>
      <c r="AA294" s="36"/>
      <c r="AB294" s="36"/>
      <c r="AC294" s="36"/>
      <c r="AD294" s="36"/>
      <c r="AE294" s="36"/>
      <c r="AF294" s="36"/>
      <c r="AG294" s="36"/>
      <c r="AH294" s="36"/>
      <c r="AI294" s="36"/>
      <c r="AJ294" s="36"/>
      <c r="AK294" s="36"/>
      <c r="AL294" s="36"/>
      <c r="AM294" s="36"/>
      <c r="AN294" s="37"/>
      <c r="AO294" s="37"/>
      <c r="AP294" s="37"/>
      <c r="AQ294" s="37"/>
      <c r="AR294" s="37"/>
      <c r="AS294" s="37"/>
      <c r="AT294" s="37"/>
      <c r="AU294" s="37"/>
      <c r="AV294" s="37"/>
      <c r="AW294" s="37"/>
      <c r="AX294" s="37"/>
      <c r="AY294" s="37"/>
      <c r="AZ294" s="37"/>
      <c r="BA294" s="37"/>
      <c r="BB294" s="37"/>
      <c r="BC294" s="37"/>
      <c r="BD294" s="37"/>
      <c r="BE294" s="37"/>
    </row>
    <row r="295" spans="2:59" s="31" customFormat="1" ht="15.5" x14ac:dyDescent="0.3">
      <c r="B295" s="170" t="s">
        <v>572</v>
      </c>
      <c r="C295" s="160"/>
      <c r="D295" s="84" t="s">
        <v>8</v>
      </c>
      <c r="E295" s="34"/>
      <c r="F295" s="34"/>
      <c r="G295" s="34"/>
      <c r="H295" s="84"/>
      <c r="J295" s="33" t="s">
        <v>523</v>
      </c>
      <c r="K295" s="112">
        <f>IF(ISNUMBER(L295),L295,Muut!$H$31)</f>
        <v>9.4500000000000011</v>
      </c>
      <c r="L295" s="185"/>
      <c r="M295" s="41" t="s">
        <v>226</v>
      </c>
      <c r="N295" s="41"/>
      <c r="O295" s="265"/>
      <c r="Q295" s="35"/>
      <c r="R295" s="109" t="str">
        <f>IF(AND(ISNUMBER(K295),ISNUMBER(C294)),-K295*C294,"")</f>
        <v/>
      </c>
      <c r="S295" s="102" t="s">
        <v>172</v>
      </c>
      <c r="T295" s="102" t="s">
        <v>524</v>
      </c>
      <c r="U295" s="36"/>
      <c r="V295" s="36"/>
      <c r="W295" s="36"/>
      <c r="X295" s="36"/>
      <c r="Y295" s="36"/>
      <c r="Z295" s="36"/>
      <c r="AA295" s="36"/>
      <c r="AB295" s="36"/>
      <c r="AC295" s="36"/>
      <c r="AD295" s="36"/>
      <c r="AE295" s="36"/>
      <c r="AF295" s="36"/>
      <c r="AG295" s="36"/>
      <c r="AH295" s="36"/>
      <c r="AI295" s="36"/>
      <c r="AJ295" s="36"/>
      <c r="AK295" s="36"/>
      <c r="AL295" s="36"/>
      <c r="AM295" s="36"/>
      <c r="AN295" s="37"/>
      <c r="AO295" s="37"/>
      <c r="AP295" s="37"/>
      <c r="AQ295" s="37"/>
      <c r="AR295" s="37"/>
      <c r="AS295" s="37"/>
      <c r="AT295" s="37"/>
      <c r="AU295" s="37"/>
      <c r="AV295" s="37"/>
      <c r="AW295" s="37"/>
      <c r="AX295" s="37"/>
      <c r="AY295" s="37"/>
      <c r="AZ295" s="37"/>
      <c r="BA295" s="37"/>
      <c r="BB295" s="37"/>
      <c r="BC295" s="37"/>
      <c r="BD295" s="37"/>
      <c r="BE295" s="37"/>
    </row>
    <row r="296" spans="2:59" s="31" customFormat="1" ht="15.5" x14ac:dyDescent="0.3">
      <c r="B296" s="34"/>
      <c r="C296" s="34"/>
      <c r="D296" s="34"/>
      <c r="E296" s="34"/>
      <c r="F296" s="34"/>
      <c r="G296" s="34"/>
      <c r="H296" s="84"/>
      <c r="J296" s="33"/>
      <c r="K296" s="42"/>
      <c r="L296" s="42"/>
      <c r="M296" s="41"/>
      <c r="N296" s="41"/>
      <c r="O296" s="41"/>
      <c r="Q296" s="35"/>
      <c r="R296" s="61"/>
      <c r="S296" s="102"/>
      <c r="T296" s="135"/>
      <c r="U296" s="36"/>
      <c r="V296" s="36"/>
      <c r="W296" s="36"/>
      <c r="X296" s="36"/>
      <c r="Y296" s="36"/>
      <c r="Z296" s="36"/>
      <c r="AA296" s="36"/>
      <c r="AB296" s="36"/>
      <c r="AC296" s="36"/>
      <c r="AD296" s="36"/>
      <c r="AE296" s="36"/>
      <c r="AF296" s="36"/>
      <c r="AG296" s="36"/>
      <c r="AH296" s="36"/>
      <c r="AI296" s="36"/>
      <c r="AJ296" s="36"/>
      <c r="AK296" s="36"/>
      <c r="AL296" s="36"/>
      <c r="AM296" s="36"/>
      <c r="AN296" s="37"/>
      <c r="AO296" s="37"/>
      <c r="AP296" s="37"/>
      <c r="AQ296" s="37"/>
      <c r="AR296" s="37"/>
      <c r="AS296" s="37"/>
      <c r="AT296" s="37"/>
      <c r="AU296" s="37"/>
      <c r="AV296" s="37"/>
      <c r="AW296" s="37"/>
      <c r="AX296" s="37"/>
      <c r="AY296" s="37"/>
      <c r="AZ296" s="37"/>
      <c r="BA296" s="37"/>
      <c r="BB296" s="37"/>
      <c r="BC296" s="37"/>
      <c r="BD296" s="37"/>
      <c r="BE296" s="37"/>
      <c r="BF296" s="108"/>
      <c r="BG296" s="108"/>
    </row>
    <row r="297" spans="2:59" s="196" customFormat="1" ht="23" x14ac:dyDescent="0.3">
      <c r="B297" s="197" t="s">
        <v>616</v>
      </c>
      <c r="C297" s="198"/>
      <c r="D297" s="199"/>
      <c r="G297" s="198"/>
      <c r="H297" s="199"/>
      <c r="J297" s="200"/>
      <c r="P297" s="201"/>
      <c r="Q297" s="202"/>
      <c r="R297" s="203"/>
      <c r="S297" s="202"/>
      <c r="T297" s="204"/>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4"/>
      <c r="AQ297" s="204"/>
      <c r="AR297" s="204"/>
      <c r="AS297" s="204"/>
      <c r="AT297" s="204"/>
      <c r="AU297" s="204"/>
      <c r="AV297" s="204"/>
      <c r="AW297" s="204"/>
      <c r="AX297" s="204"/>
      <c r="AY297" s="204"/>
      <c r="AZ297" s="204"/>
      <c r="BA297" s="204"/>
      <c r="BB297" s="204"/>
      <c r="BC297" s="204"/>
      <c r="BD297" s="204"/>
      <c r="BE297" s="204"/>
      <c r="BF297" s="204"/>
      <c r="BG297" s="204"/>
    </row>
    <row r="298" spans="2:59" s="31" customFormat="1" ht="15.5" x14ac:dyDescent="0.3">
      <c r="B298" s="34"/>
      <c r="C298" s="34"/>
      <c r="D298" s="34"/>
      <c r="E298" s="34"/>
      <c r="F298" s="34"/>
      <c r="G298" s="34"/>
      <c r="H298" s="84"/>
      <c r="J298" s="33"/>
      <c r="K298" s="42"/>
      <c r="L298" s="42"/>
      <c r="M298" s="41"/>
      <c r="N298" s="41"/>
      <c r="O298" s="41"/>
      <c r="Q298" s="35"/>
      <c r="R298" s="61"/>
      <c r="S298" s="102"/>
      <c r="T298" s="135"/>
      <c r="U298" s="36"/>
      <c r="V298" s="36"/>
      <c r="W298" s="36"/>
      <c r="X298" s="36"/>
      <c r="Y298" s="36"/>
      <c r="Z298" s="36"/>
      <c r="AA298" s="36"/>
      <c r="AB298" s="36"/>
      <c r="AC298" s="36"/>
      <c r="AD298" s="36"/>
      <c r="AE298" s="36"/>
      <c r="AF298" s="36"/>
      <c r="AG298" s="36"/>
      <c r="AH298" s="36"/>
      <c r="AI298" s="36"/>
      <c r="AJ298" s="36"/>
      <c r="AK298" s="36"/>
      <c r="AL298" s="36"/>
      <c r="AM298" s="36"/>
      <c r="AN298" s="37"/>
      <c r="AO298" s="37"/>
      <c r="AP298" s="37"/>
      <c r="AQ298" s="37"/>
      <c r="AR298" s="37"/>
      <c r="AS298" s="37"/>
      <c r="AT298" s="37"/>
      <c r="AU298" s="37"/>
      <c r="AV298" s="37"/>
      <c r="AW298" s="37"/>
      <c r="AX298" s="37"/>
      <c r="AY298" s="37"/>
      <c r="AZ298" s="37"/>
      <c r="BA298" s="37"/>
      <c r="BB298" s="37"/>
      <c r="BC298" s="37"/>
      <c r="BD298" s="37"/>
      <c r="BE298" s="37"/>
      <c r="BF298" s="108"/>
      <c r="BG298" s="108"/>
    </row>
    <row r="299" spans="2:59" s="298" customFormat="1" ht="18" x14ac:dyDescent="0.3">
      <c r="B299" s="295" t="s">
        <v>42</v>
      </c>
      <c r="C299" s="296"/>
      <c r="D299" s="297"/>
      <c r="G299" s="296"/>
      <c r="H299" s="297"/>
      <c r="K299" s="296"/>
      <c r="L299" s="296"/>
      <c r="M299" s="297"/>
      <c r="N299" s="297"/>
      <c r="O299" s="300"/>
      <c r="P299" s="320"/>
      <c r="Q299" s="304"/>
      <c r="R299" s="298" t="str">
        <f>IF(OR(ISNUMBER(#REF!),ISNUMBER(#REF!),ISNUMBER(#REF!)),SUM(#REF!,#REF!,#REF!),"")</f>
        <v/>
      </c>
      <c r="S299" s="303"/>
      <c r="T299" s="303"/>
      <c r="U299" s="303"/>
      <c r="V299" s="303"/>
      <c r="W299" s="303"/>
      <c r="X299" s="303"/>
      <c r="Y299" s="303"/>
      <c r="Z299" s="303"/>
      <c r="AA299" s="303"/>
      <c r="AB299" s="303"/>
      <c r="AC299" s="303"/>
      <c r="AD299" s="303"/>
      <c r="AE299" s="303"/>
      <c r="AF299" s="303"/>
      <c r="AG299" s="303"/>
      <c r="AH299" s="303"/>
      <c r="AI299" s="303"/>
      <c r="AJ299" s="303"/>
      <c r="AK299" s="303"/>
      <c r="AL299" s="303"/>
      <c r="AM299" s="303"/>
      <c r="AN299" s="304"/>
      <c r="AO299" s="304"/>
      <c r="AP299" s="304"/>
      <c r="AQ299" s="304"/>
      <c r="AR299" s="304"/>
      <c r="AS299" s="304"/>
      <c r="AT299" s="304"/>
      <c r="AU299" s="304"/>
      <c r="AV299" s="304"/>
      <c r="AW299" s="304"/>
      <c r="AX299" s="304"/>
      <c r="AY299" s="304"/>
      <c r="AZ299" s="304"/>
      <c r="BA299" s="304"/>
      <c r="BB299" s="304"/>
      <c r="BC299" s="304"/>
      <c r="BD299" s="304"/>
      <c r="BE299" s="304"/>
    </row>
    <row r="300" spans="2:59" s="31" customFormat="1" ht="15.5" x14ac:dyDescent="0.3">
      <c r="B300" s="9"/>
      <c r="C300" s="34"/>
      <c r="D300" s="84"/>
      <c r="G300" s="34" t="s">
        <v>43</v>
      </c>
      <c r="H300" s="84"/>
      <c r="K300" s="38" t="s">
        <v>329</v>
      </c>
      <c r="L300" s="38" t="s">
        <v>201</v>
      </c>
      <c r="M300" s="84"/>
      <c r="N300" s="84"/>
      <c r="O300" s="255" t="s">
        <v>644</v>
      </c>
      <c r="Q300" s="35"/>
      <c r="R300" s="36" t="s">
        <v>350</v>
      </c>
      <c r="S300" s="36"/>
      <c r="T300" s="36" t="s">
        <v>267</v>
      </c>
      <c r="U300" s="36" t="s">
        <v>268</v>
      </c>
      <c r="V300" s="36" t="s">
        <v>269</v>
      </c>
      <c r="W300" s="36" t="s">
        <v>272</v>
      </c>
      <c r="X300" s="36" t="s">
        <v>270</v>
      </c>
      <c r="Y300" s="36" t="s">
        <v>271</v>
      </c>
      <c r="Z300" s="36" t="s">
        <v>273</v>
      </c>
      <c r="AA300" s="108"/>
      <c r="AB300" s="36"/>
      <c r="AC300" s="36"/>
      <c r="AD300" s="36"/>
      <c r="AE300" s="36"/>
      <c r="AF300" s="36"/>
      <c r="AG300" s="36"/>
      <c r="AH300" s="36"/>
      <c r="AI300" s="36"/>
      <c r="AJ300" s="36"/>
      <c r="AK300" s="36"/>
      <c r="AL300" s="36"/>
      <c r="AM300" s="36"/>
      <c r="AN300" s="37"/>
      <c r="AO300" s="37"/>
      <c r="AP300" s="37"/>
      <c r="AQ300" s="37"/>
      <c r="AR300" s="37"/>
      <c r="AS300" s="37"/>
      <c r="AT300" s="37"/>
      <c r="AU300" s="37"/>
      <c r="AV300" s="37"/>
      <c r="AW300" s="37"/>
      <c r="AX300" s="37"/>
      <c r="AY300" s="37"/>
      <c r="AZ300" s="37"/>
      <c r="BA300" s="37"/>
      <c r="BB300" s="37"/>
      <c r="BC300" s="37"/>
      <c r="BD300" s="37"/>
      <c r="BE300" s="37"/>
    </row>
    <row r="301" spans="2:59" s="31" customFormat="1" ht="15.5" x14ac:dyDescent="0.3">
      <c r="B301" s="54" t="s">
        <v>578</v>
      </c>
      <c r="C301" s="160"/>
      <c r="D301" s="84" t="s">
        <v>234</v>
      </c>
      <c r="G301" s="160"/>
      <c r="H301" s="84" t="s">
        <v>44</v>
      </c>
      <c r="J301" s="33" t="s">
        <v>566</v>
      </c>
      <c r="K301" s="112">
        <f>IF(ISNUMBER(L301),L301,IF(C303=Pudotusvalikot!$J$4,Kalusto!$E$98,IF(C303=Pudotusvalikot!$J$5,Kalusto!$E$99,IF(C303=Pudotusvalikot!$J$6,Kalusto!$E$100,IF(C303=Pudotusvalikot!$J$7,Kalusto!$E$101,IF(C303=Pudotusvalikot!$J$8,Kalusto!$E$102,IF(C303=Pudotusvalikot!$J$9,Kalusto!$E$103,IF(C303=Pudotusvalikot!$J$11,Kalusto!$E$104,Kalusto!$E$98))))))))</f>
        <v>5.5</v>
      </c>
      <c r="L301" s="63"/>
      <c r="M301" s="77" t="str">
        <f>IF(C303=Pudotusvalikot!$J$9,"kWh/100 km",IF(C303=Pudotusvalikot!$J$6,"kg/100 km","l/100 km"))</f>
        <v>l/100 km</v>
      </c>
      <c r="N301" s="77"/>
      <c r="O301" s="256"/>
      <c r="Q301" s="35"/>
      <c r="R301" s="109">
        <f>SUM(U301:Z301)</f>
        <v>0</v>
      </c>
      <c r="S301" s="102" t="s">
        <v>172</v>
      </c>
      <c r="T301" s="48">
        <f>IF(ISNUMBER(C302*C301*G301),C302*C301*G301,"")</f>
        <v>0</v>
      </c>
      <c r="U301" s="50">
        <f>IF(ISNUMBER(T301),IF(C303=Pudotusvalikot!$J$5,(Muut!$H$15+Muut!$H$18)*(T301*K301/100),0),"")</f>
        <v>0</v>
      </c>
      <c r="V301" s="50">
        <f>IF(ISNUMBER(T301),IF(C303=Pudotusvalikot!$J$4,(Muut!$H$14+Muut!$H$17)*(T301*K301/100),0),"")</f>
        <v>0</v>
      </c>
      <c r="W301" s="50">
        <f>IF(ISNUMBER(T301),IF(C303=Pudotusvalikot!$J$6,(Muut!$H$16+Muut!$H$19)*(T301*K301/100),0),"")</f>
        <v>0</v>
      </c>
      <c r="X301" s="50">
        <f>IF(ISNUMBER(T301),IF(C303=Pudotusvalikot!$J$7,((Muut!$H$15+Muut!$H$18)*(100%-Kalusto!$O$101)+(Muut!$H$14+Muut!$H$17)*Kalusto!$O$101)*(T301*K301/100),0),"")</f>
        <v>0</v>
      </c>
      <c r="Y301" s="74">
        <f>IF(ISNUMBER(T301),IF(C303=Pudotusvalikot!$J$8,((Kalusto!$K$102)*(100%-Kalusto!$O$102)+(Kalusto!$M$102)*Kalusto!$O$102)*(Muut!$H$13+Muut!$H$12)/100*T301/1000+((Kalusto!$G$102)*(100%-Kalusto!$O$102)+(Kalusto!$I$102)*Kalusto!$O$102)*(K301+Muut!$H$18)/100*T301,0),"")</f>
        <v>0</v>
      </c>
      <c r="Z301" s="74">
        <f>IF(ISNUMBER(T301),IF(C303=Pudotusvalikot!$J$9,Kalusto!$E$103*(K301+Muut!$H$12)/100*T301/1000,0),"")</f>
        <v>0</v>
      </c>
      <c r="AA301" s="108"/>
      <c r="AB301" s="36"/>
      <c r="AC301" s="36"/>
      <c r="AD301" s="36"/>
      <c r="AE301" s="36"/>
      <c r="AF301" s="36"/>
      <c r="AG301" s="36"/>
      <c r="AH301" s="36"/>
      <c r="AI301" s="36"/>
      <c r="AJ301" s="36"/>
      <c r="AK301" s="36"/>
      <c r="AL301" s="36"/>
      <c r="AM301" s="36"/>
      <c r="AN301" s="37"/>
      <c r="AO301" s="37"/>
      <c r="AP301" s="37"/>
      <c r="AQ301" s="37"/>
      <c r="AR301" s="37"/>
      <c r="AS301" s="37"/>
      <c r="AT301" s="37"/>
      <c r="AU301" s="37"/>
      <c r="AV301" s="37"/>
      <c r="AW301" s="37"/>
      <c r="AX301" s="37"/>
      <c r="AY301" s="37"/>
      <c r="AZ301" s="37"/>
      <c r="BA301" s="37"/>
      <c r="BB301" s="37"/>
      <c r="BC301" s="37"/>
      <c r="BD301" s="37"/>
      <c r="BE301" s="37"/>
    </row>
    <row r="302" spans="2:59" s="31" customFormat="1" ht="15.5" x14ac:dyDescent="0.3">
      <c r="B302" s="54" t="s">
        <v>577</v>
      </c>
      <c r="C302" s="161"/>
      <c r="D302" s="84" t="s">
        <v>5</v>
      </c>
      <c r="G302" s="34"/>
      <c r="H302" s="84"/>
      <c r="J302" s="33"/>
      <c r="K302" s="34"/>
      <c r="L302" s="34"/>
      <c r="M302" s="84"/>
      <c r="N302" s="84"/>
      <c r="O302" s="100"/>
      <c r="Q302" s="35"/>
      <c r="R302" s="99"/>
      <c r="S302" s="36"/>
      <c r="T302" s="36"/>
      <c r="U302" s="36"/>
      <c r="V302" s="36"/>
      <c r="W302" s="36"/>
      <c r="X302" s="36"/>
      <c r="Y302" s="36"/>
      <c r="Z302" s="36"/>
      <c r="AA302" s="36"/>
      <c r="AB302" s="36"/>
      <c r="AC302" s="36"/>
      <c r="AD302" s="36"/>
      <c r="AE302" s="36"/>
      <c r="AF302" s="36"/>
      <c r="AG302" s="36"/>
      <c r="AH302" s="36"/>
      <c r="AI302" s="36"/>
      <c r="AJ302" s="36"/>
      <c r="AK302" s="36"/>
      <c r="AL302" s="36"/>
      <c r="AM302" s="36"/>
      <c r="AN302" s="37"/>
      <c r="AO302" s="37"/>
      <c r="AP302" s="37"/>
      <c r="AQ302" s="37"/>
      <c r="AR302" s="37"/>
      <c r="AS302" s="37"/>
      <c r="AT302" s="37"/>
      <c r="AU302" s="37"/>
      <c r="AV302" s="37"/>
      <c r="AW302" s="37"/>
      <c r="AX302" s="37"/>
      <c r="AY302" s="37"/>
      <c r="AZ302" s="37"/>
      <c r="BA302" s="37"/>
      <c r="BB302" s="37"/>
      <c r="BC302" s="37"/>
      <c r="BD302" s="37"/>
      <c r="BE302" s="37"/>
    </row>
    <row r="303" spans="2:59" s="31" customFormat="1" ht="15.5" x14ac:dyDescent="0.3">
      <c r="B303" s="54" t="s">
        <v>576</v>
      </c>
      <c r="C303" s="399" t="s">
        <v>242</v>
      </c>
      <c r="D303" s="399"/>
      <c r="G303" s="34"/>
      <c r="H303" s="84"/>
      <c r="J303" s="33"/>
      <c r="K303" s="34"/>
      <c r="L303" s="34"/>
      <c r="M303" s="84"/>
      <c r="N303" s="84"/>
      <c r="O303" s="100"/>
      <c r="Q303" s="35"/>
      <c r="R303" s="99"/>
      <c r="S303" s="36"/>
      <c r="T303" s="36"/>
      <c r="U303" s="36"/>
      <c r="V303" s="36"/>
      <c r="W303" s="36"/>
      <c r="X303" s="36"/>
      <c r="Y303" s="36"/>
      <c r="Z303" s="36"/>
      <c r="AA303" s="36"/>
      <c r="AB303" s="36"/>
      <c r="AC303" s="36"/>
      <c r="AD303" s="36"/>
      <c r="AE303" s="36"/>
      <c r="AF303" s="36"/>
      <c r="AG303" s="36"/>
      <c r="AH303" s="36"/>
      <c r="AI303" s="36"/>
      <c r="AJ303" s="36"/>
      <c r="AK303" s="36"/>
      <c r="AL303" s="36"/>
      <c r="AM303" s="36"/>
      <c r="AN303" s="37"/>
      <c r="AO303" s="37"/>
      <c r="AP303" s="37"/>
      <c r="AQ303" s="37"/>
      <c r="AR303" s="37"/>
      <c r="AS303" s="37"/>
      <c r="AT303" s="37"/>
      <c r="AU303" s="37"/>
      <c r="AV303" s="37"/>
      <c r="AW303" s="37"/>
      <c r="AX303" s="37"/>
      <c r="AY303" s="37"/>
      <c r="AZ303" s="37"/>
      <c r="BA303" s="37"/>
      <c r="BB303" s="37"/>
      <c r="BC303" s="37"/>
      <c r="BD303" s="37"/>
      <c r="BE303" s="37"/>
    </row>
    <row r="305" ht="13.9" hidden="1" customHeight="1" x14ac:dyDescent="0.3"/>
    <row r="306" ht="13.9" hidden="1" customHeight="1" x14ac:dyDescent="0.3"/>
    <row r="307" ht="13.9" hidden="1" customHeight="1" x14ac:dyDescent="0.3"/>
    <row r="308" ht="13.9" hidden="1" customHeight="1" x14ac:dyDescent="0.3"/>
    <row r="309" ht="13.9" hidden="1" customHeight="1" x14ac:dyDescent="0.3"/>
    <row r="310" ht="13.9" hidden="1" customHeight="1" x14ac:dyDescent="0.3"/>
    <row r="311" ht="13.9" hidden="1" customHeight="1" x14ac:dyDescent="0.3"/>
    <row r="312" ht="13.9" hidden="1" customHeight="1" x14ac:dyDescent="0.3"/>
    <row r="313" ht="13.9" hidden="1" customHeight="1" x14ac:dyDescent="0.3"/>
    <row r="314" ht="13.9" hidden="1" customHeight="1" x14ac:dyDescent="0.3"/>
    <row r="315" ht="13.9" hidden="1" customHeight="1" x14ac:dyDescent="0.3"/>
    <row r="316" ht="13.9" hidden="1" customHeight="1" x14ac:dyDescent="0.3"/>
    <row r="317" ht="13.9" hidden="1" customHeight="1" x14ac:dyDescent="0.3"/>
    <row r="318" ht="13.9" hidden="1" customHeight="1" x14ac:dyDescent="0.3"/>
    <row r="319" ht="13.9" hidden="1" customHeight="1" x14ac:dyDescent="0.3"/>
    <row r="320" ht="13.9" hidden="1" customHeight="1" x14ac:dyDescent="0.3"/>
    <row r="321" ht="13.9" hidden="1" customHeight="1" x14ac:dyDescent="0.3"/>
    <row r="322" ht="13.9" hidden="1" customHeight="1" x14ac:dyDescent="0.3"/>
    <row r="323" ht="13.9" hidden="1" customHeight="1" x14ac:dyDescent="0.3"/>
    <row r="324" ht="13.9" hidden="1" customHeight="1" x14ac:dyDescent="0.3"/>
    <row r="325" ht="13.9" hidden="1" customHeight="1" x14ac:dyDescent="0.3"/>
    <row r="326" ht="13.9" hidden="1" customHeight="1" x14ac:dyDescent="0.3"/>
    <row r="327" ht="13.9" hidden="1" customHeight="1" x14ac:dyDescent="0.3"/>
    <row r="328" ht="13.9" hidden="1" customHeight="1" x14ac:dyDescent="0.3"/>
    <row r="329" ht="13.9" hidden="1" customHeight="1" x14ac:dyDescent="0.3"/>
    <row r="330" ht="13.9" hidden="1" customHeight="1" x14ac:dyDescent="0.3"/>
    <row r="331" ht="13.9" hidden="1" customHeight="1" x14ac:dyDescent="0.3"/>
    <row r="332" ht="13.9" hidden="1" customHeight="1" x14ac:dyDescent="0.3"/>
    <row r="333" ht="13.9" hidden="1" customHeight="1" x14ac:dyDescent="0.3"/>
    <row r="334" ht="13.9" hidden="1" customHeight="1" x14ac:dyDescent="0.3"/>
    <row r="335" ht="13.9" hidden="1" customHeight="1" x14ac:dyDescent="0.3"/>
    <row r="336" ht="13.9" hidden="1" customHeight="1" x14ac:dyDescent="0.3"/>
    <row r="337" ht="13.9" hidden="1" customHeight="1" x14ac:dyDescent="0.3"/>
    <row r="338" ht="13.9" hidden="1" customHeight="1" x14ac:dyDescent="0.3"/>
    <row r="339" ht="13.9" hidden="1" customHeight="1" x14ac:dyDescent="0.3"/>
    <row r="340" ht="13.9" hidden="1" customHeight="1" x14ac:dyDescent="0.3"/>
    <row r="341" ht="13.9" hidden="1" customHeight="1" x14ac:dyDescent="0.3"/>
    <row r="342" ht="13.9" hidden="1" customHeight="1" x14ac:dyDescent="0.3"/>
    <row r="343" ht="13.9" hidden="1" customHeight="1" x14ac:dyDescent="0.3"/>
    <row r="344" ht="13.9" hidden="1" customHeight="1" x14ac:dyDescent="0.3"/>
    <row r="345" ht="13.9" hidden="1" customHeight="1" x14ac:dyDescent="0.3"/>
    <row r="346" ht="13.9" hidden="1" customHeight="1" x14ac:dyDescent="0.3"/>
    <row r="347" ht="13.9" hidden="1" customHeight="1" x14ac:dyDescent="0.3"/>
    <row r="348" ht="13.9" hidden="1" customHeight="1" x14ac:dyDescent="0.3"/>
    <row r="349" ht="13.9" hidden="1" customHeight="1" x14ac:dyDescent="0.3"/>
    <row r="350" ht="13.9" hidden="1" customHeight="1" x14ac:dyDescent="0.3"/>
    <row r="351" ht="13.9" hidden="1" customHeight="1" x14ac:dyDescent="0.3"/>
    <row r="352" ht="13.9" hidden="1" customHeight="1" x14ac:dyDescent="0.3"/>
    <row r="353" ht="13.9" hidden="1" customHeight="1" x14ac:dyDescent="0.3"/>
    <row r="354" ht="13.9" hidden="1" customHeight="1" x14ac:dyDescent="0.3"/>
    <row r="355" ht="13.9" hidden="1" customHeight="1" x14ac:dyDescent="0.3"/>
    <row r="356" ht="13.9" hidden="1" customHeight="1" x14ac:dyDescent="0.3"/>
    <row r="357" ht="13.9" hidden="1" customHeight="1" x14ac:dyDescent="0.3"/>
    <row r="358" ht="13.9" hidden="1" customHeight="1" x14ac:dyDescent="0.3"/>
    <row r="359" ht="13.9" hidden="1" customHeight="1" x14ac:dyDescent="0.3"/>
    <row r="360" ht="13.9" hidden="1" customHeight="1" x14ac:dyDescent="0.3"/>
    <row r="361" ht="13.9" hidden="1" customHeight="1" x14ac:dyDescent="0.3"/>
    <row r="362" ht="13.9" hidden="1" customHeight="1" x14ac:dyDescent="0.3"/>
    <row r="363" ht="13.9" hidden="1" customHeight="1" x14ac:dyDescent="0.3"/>
    <row r="364" ht="13.9" hidden="1" customHeight="1" x14ac:dyDescent="0.3"/>
    <row r="365" ht="13.9" hidden="1" customHeight="1" x14ac:dyDescent="0.3"/>
    <row r="366" ht="13.9" hidden="1" customHeight="1" x14ac:dyDescent="0.3"/>
    <row r="367" ht="13.9" hidden="1" customHeight="1" x14ac:dyDescent="0.3"/>
    <row r="368" ht="13.9" hidden="1" customHeight="1" x14ac:dyDescent="0.3"/>
    <row r="369" ht="13.9" hidden="1" customHeight="1" x14ac:dyDescent="0.3"/>
    <row r="370" ht="13.9" hidden="1" customHeight="1" x14ac:dyDescent="0.3"/>
    <row r="371" ht="13.9" hidden="1" customHeight="1" x14ac:dyDescent="0.3"/>
    <row r="372" ht="13.9" hidden="1" customHeight="1" x14ac:dyDescent="0.3"/>
    <row r="373" ht="13.9" hidden="1" customHeight="1" x14ac:dyDescent="0.3"/>
    <row r="374" ht="13.9" hidden="1" customHeight="1" x14ac:dyDescent="0.3"/>
    <row r="375" ht="13.9" hidden="1" customHeight="1" x14ac:dyDescent="0.3"/>
    <row r="376" ht="13.9" hidden="1" customHeight="1" x14ac:dyDescent="0.3"/>
    <row r="377" ht="13.9" hidden="1" customHeight="1" x14ac:dyDescent="0.3"/>
    <row r="378" ht="13.9" hidden="1" customHeight="1" x14ac:dyDescent="0.3"/>
    <row r="379" ht="13.9" hidden="1" customHeight="1" x14ac:dyDescent="0.3"/>
    <row r="380" ht="13.9" hidden="1" customHeight="1" x14ac:dyDescent="0.3"/>
    <row r="381" ht="13.9" hidden="1" customHeight="1" x14ac:dyDescent="0.3"/>
    <row r="382" ht="13.9" hidden="1" customHeight="1" x14ac:dyDescent="0.3"/>
    <row r="383" ht="13.9" hidden="1" customHeight="1" x14ac:dyDescent="0.3"/>
    <row r="384" ht="13.9" hidden="1" customHeight="1" x14ac:dyDescent="0.3"/>
    <row r="385" spans="7:59" ht="13.9" hidden="1" customHeight="1" x14ac:dyDescent="0.3"/>
    <row r="386" spans="7:59" ht="13.9" hidden="1" customHeight="1" x14ac:dyDescent="0.3"/>
    <row r="387" spans="7:59" ht="13.9" hidden="1" customHeight="1" x14ac:dyDescent="0.3"/>
    <row r="388" spans="7:59" ht="13.9" hidden="1" customHeight="1" x14ac:dyDescent="0.3"/>
    <row r="389" spans="7:59" ht="13.9" hidden="1" customHeight="1" x14ac:dyDescent="0.3"/>
    <row r="390" spans="7:59" ht="13.9" hidden="1" customHeight="1" x14ac:dyDescent="0.3"/>
    <row r="391" spans="7:59" ht="13.9" hidden="1" customHeight="1" x14ac:dyDescent="0.3"/>
    <row r="392" spans="7:59" ht="13.9" hidden="1" customHeight="1" x14ac:dyDescent="0.3"/>
    <row r="393" spans="7:59" ht="13.9" hidden="1" customHeight="1" x14ac:dyDescent="0.3"/>
    <row r="394" spans="7:59" ht="13.9" hidden="1" customHeight="1" x14ac:dyDescent="0.3"/>
    <row r="395" spans="7:59" ht="13.9" hidden="1" customHeight="1" x14ac:dyDescent="0.3"/>
    <row r="396" spans="7:59" ht="13.9" hidden="1" customHeight="1" x14ac:dyDescent="0.3"/>
    <row r="397" spans="7:59" ht="13.9" hidden="1" customHeight="1" x14ac:dyDescent="0.3"/>
    <row r="398" spans="7:59" ht="13.9" hidden="1" customHeight="1" x14ac:dyDescent="0.3"/>
    <row r="399" spans="7:59" ht="13.9" hidden="1" customHeight="1" x14ac:dyDescent="0.3"/>
    <row r="400" spans="7:59" ht="13.9" customHeight="1" x14ac:dyDescent="0.3">
      <c r="G400" s="13"/>
      <c r="M400" s="87"/>
      <c r="N400" s="87"/>
      <c r="O400" s="87"/>
      <c r="Q400" s="24"/>
      <c r="R400" s="285" t="s">
        <v>346</v>
      </c>
      <c r="S400" s="22"/>
      <c r="T400" s="233"/>
      <c r="U400" s="234"/>
      <c r="V400" s="234"/>
      <c r="W400" s="234"/>
      <c r="X400" s="234"/>
      <c r="Y400" s="234"/>
      <c r="Z400" s="234"/>
      <c r="AA400" s="234"/>
      <c r="AB400" s="234"/>
      <c r="AC400" s="234"/>
      <c r="AD400" s="234"/>
      <c r="AN400" s="23"/>
      <c r="AO400" s="23"/>
      <c r="BF400" s="5"/>
      <c r="BG400" s="5"/>
    </row>
    <row r="401" spans="7:59" ht="13.9" customHeight="1" x14ac:dyDescent="0.3">
      <c r="G401" s="13"/>
      <c r="M401" s="87"/>
      <c r="N401" s="87"/>
      <c r="O401" s="87"/>
      <c r="Q401" s="24"/>
      <c r="R401" s="244"/>
      <c r="S401" s="23"/>
      <c r="T401" s="233"/>
      <c r="U401" s="234"/>
      <c r="V401" s="234"/>
      <c r="W401" s="234"/>
      <c r="X401" s="234"/>
      <c r="Y401" s="234" t="s">
        <v>172</v>
      </c>
      <c r="Z401" s="234" t="s">
        <v>658</v>
      </c>
      <c r="AA401" s="234"/>
      <c r="AB401" s="234"/>
      <c r="AC401" s="234"/>
      <c r="AD401" s="234"/>
      <c r="AN401" s="23"/>
      <c r="AO401" s="23"/>
      <c r="BF401" s="5"/>
      <c r="BG401" s="5"/>
    </row>
    <row r="402" spans="7:59" ht="13.9" customHeight="1" x14ac:dyDescent="0.3">
      <c r="G402" s="13"/>
      <c r="M402" s="87"/>
      <c r="N402" s="87"/>
      <c r="O402" s="87"/>
      <c r="Q402" s="24"/>
      <c r="R402" s="244"/>
      <c r="S402" s="286" t="str">
        <f>B8</f>
        <v>Käsittelyssä tarvittavien työkoneiden ja muun työmaakaluston kuljetus alueelle sekä niiden kuljetus alueelta pois käsittelyn päättyessä</v>
      </c>
      <c r="T402" s="287"/>
      <c r="U402" s="288"/>
      <c r="V402" s="288"/>
      <c r="W402" s="288" t="s">
        <v>730</v>
      </c>
      <c r="X402" s="288" t="s">
        <v>674</v>
      </c>
      <c r="Y402" s="289">
        <f ca="1">SUM(Y403,Y406)</f>
        <v>0</v>
      </c>
      <c r="Z402" s="290" t="str">
        <f ca="1">IF(ISERROR(Y402/$Y$440),"--",Y402/$Y$440)</f>
        <v>--</v>
      </c>
      <c r="AA402" s="234"/>
      <c r="AB402" s="234"/>
      <c r="AC402" s="234"/>
      <c r="AD402" s="234"/>
      <c r="AN402" s="23"/>
      <c r="AO402" s="23"/>
      <c r="BF402" s="5"/>
      <c r="BG402" s="5"/>
    </row>
    <row r="403" spans="7:59" ht="13.9" customHeight="1" x14ac:dyDescent="0.3">
      <c r="G403" s="13"/>
      <c r="M403" s="87"/>
      <c r="N403" s="87"/>
      <c r="O403" s="87"/>
      <c r="Q403" s="24"/>
      <c r="R403" s="244"/>
      <c r="S403" s="212" t="s">
        <v>629</v>
      </c>
      <c r="T403" s="234"/>
      <c r="U403" s="234"/>
      <c r="V403" s="234"/>
      <c r="W403" s="234" t="s">
        <v>730</v>
      </c>
      <c r="X403" s="234" t="s">
        <v>348</v>
      </c>
      <c r="Y403" s="235">
        <f ca="1">SUM(Y404:Y405)</f>
        <v>0</v>
      </c>
      <c r="Z403" s="284" t="str">
        <f t="shared" ref="Z403:Z438" ca="1" si="0">IF(ISERROR(Y403/$Y$440),"--",Y403/$Y$440)</f>
        <v>--</v>
      </c>
      <c r="AA403" s="234"/>
      <c r="AB403" s="234"/>
      <c r="AC403" s="234"/>
      <c r="AD403" s="234"/>
      <c r="AN403" s="23"/>
      <c r="AO403" s="23"/>
      <c r="BF403" s="5"/>
      <c r="BG403" s="5"/>
    </row>
    <row r="404" spans="7:59" ht="13.9" customHeight="1" x14ac:dyDescent="0.3">
      <c r="G404" s="13"/>
      <c r="M404" s="87"/>
      <c r="N404" s="87"/>
      <c r="O404" s="87"/>
      <c r="Q404" s="24"/>
      <c r="R404" s="244"/>
      <c r="S404" s="252" t="s">
        <v>40</v>
      </c>
      <c r="T404" s="234"/>
      <c r="U404" s="234"/>
      <c r="V404" s="234"/>
      <c r="W404" s="234" t="s">
        <v>40</v>
      </c>
      <c r="X404" s="234"/>
      <c r="Y404" s="235">
        <f>SUM(AB11,AB16,AB21)</f>
        <v>0</v>
      </c>
      <c r="Z404" s="284" t="str">
        <f t="shared" ca="1" si="0"/>
        <v>--</v>
      </c>
      <c r="AA404" s="234"/>
      <c r="AB404" s="234"/>
      <c r="AC404" s="234"/>
      <c r="AD404" s="234"/>
      <c r="AN404" s="23"/>
      <c r="AO404" s="23"/>
      <c r="BF404" s="5"/>
      <c r="BG404" s="5"/>
    </row>
    <row r="405" spans="7:59" ht="13.9" customHeight="1" x14ac:dyDescent="0.3">
      <c r="G405" s="13"/>
      <c r="M405" s="87"/>
      <c r="N405" s="87"/>
      <c r="O405" s="87"/>
      <c r="Q405" s="24"/>
      <c r="R405" s="244"/>
      <c r="S405" s="252" t="s">
        <v>637</v>
      </c>
      <c r="T405" s="234"/>
      <c r="U405" s="234"/>
      <c r="V405" s="234"/>
      <c r="W405" s="234" t="s">
        <v>40</v>
      </c>
      <c r="X405" s="234"/>
      <c r="Y405" s="235">
        <f ca="1">SUM(AG21,AG16,AG11)</f>
        <v>0</v>
      </c>
      <c r="Z405" s="284" t="str">
        <f t="shared" ca="1" si="0"/>
        <v>--</v>
      </c>
      <c r="AA405" s="234"/>
      <c r="AB405" s="234"/>
      <c r="AC405" s="234"/>
      <c r="AD405" s="234"/>
      <c r="AN405" s="23"/>
      <c r="AO405" s="23"/>
      <c r="BF405" s="5"/>
      <c r="BG405" s="5"/>
    </row>
    <row r="406" spans="7:59" ht="13.9" customHeight="1" x14ac:dyDescent="0.3">
      <c r="G406" s="13"/>
      <c r="M406" s="87"/>
      <c r="N406" s="87"/>
      <c r="O406" s="87"/>
      <c r="Q406" s="24"/>
      <c r="R406" s="244"/>
      <c r="S406" s="212" t="s">
        <v>630</v>
      </c>
      <c r="T406" s="234"/>
      <c r="U406" s="234"/>
      <c r="V406" s="234"/>
      <c r="W406" s="234" t="s">
        <v>730</v>
      </c>
      <c r="X406" s="234" t="s">
        <v>673</v>
      </c>
      <c r="Y406" s="235">
        <f ca="1">SUM(Y407:Y408)</f>
        <v>0</v>
      </c>
      <c r="Z406" s="284" t="str">
        <f t="shared" ca="1" si="0"/>
        <v>--</v>
      </c>
      <c r="AA406" s="234"/>
      <c r="AB406" s="234"/>
      <c r="AC406" s="234"/>
      <c r="AD406" s="234"/>
      <c r="AN406" s="23"/>
      <c r="AO406" s="23"/>
      <c r="BF406" s="5"/>
      <c r="BG406" s="5"/>
    </row>
    <row r="407" spans="7:59" ht="13.9" customHeight="1" x14ac:dyDescent="0.3">
      <c r="G407" s="13"/>
      <c r="M407" s="87"/>
      <c r="N407" s="87"/>
      <c r="O407" s="87"/>
      <c r="Q407" s="24"/>
      <c r="R407" s="244"/>
      <c r="S407" s="252" t="s">
        <v>40</v>
      </c>
      <c r="T407" s="234"/>
      <c r="U407" s="234"/>
      <c r="V407" s="234"/>
      <c r="W407" s="234" t="s">
        <v>40</v>
      </c>
      <c r="X407" s="234"/>
      <c r="Y407" s="235">
        <f>SUM(AB21,AB16,AB11)</f>
        <v>0</v>
      </c>
      <c r="Z407" s="284" t="str">
        <f t="shared" ca="1" si="0"/>
        <v>--</v>
      </c>
      <c r="AA407" s="234"/>
      <c r="AB407" s="234"/>
      <c r="AC407" s="234"/>
      <c r="AD407" s="234"/>
      <c r="AN407" s="23"/>
      <c r="AO407" s="23"/>
      <c r="BF407" s="5"/>
      <c r="BG407" s="5"/>
    </row>
    <row r="408" spans="7:59" ht="13.9" customHeight="1" x14ac:dyDescent="0.3">
      <c r="G408" s="13"/>
      <c r="M408" s="87"/>
      <c r="N408" s="87"/>
      <c r="O408" s="87"/>
      <c r="Q408" s="24"/>
      <c r="R408" s="244"/>
      <c r="S408" s="252" t="s">
        <v>637</v>
      </c>
      <c r="T408" s="234"/>
      <c r="U408" s="234"/>
      <c r="V408" s="234"/>
      <c r="W408" s="234" t="s">
        <v>40</v>
      </c>
      <c r="X408" s="234"/>
      <c r="Y408" s="235">
        <f ca="1">SUM(AG21,AG16,AG11)</f>
        <v>0</v>
      </c>
      <c r="Z408" s="284" t="str">
        <f t="shared" ca="1" si="0"/>
        <v>--</v>
      </c>
      <c r="AA408" s="234"/>
      <c r="AB408" s="234"/>
      <c r="AC408" s="234"/>
      <c r="AD408" s="234"/>
      <c r="AN408" s="23"/>
      <c r="AO408" s="23"/>
      <c r="BF408" s="5"/>
      <c r="BG408" s="5"/>
    </row>
    <row r="409" spans="7:59" ht="13.9" customHeight="1" x14ac:dyDescent="0.3">
      <c r="G409" s="13"/>
      <c r="M409" s="87"/>
      <c r="N409" s="87"/>
      <c r="O409" s="87"/>
      <c r="Q409" s="24"/>
      <c r="R409" s="244"/>
      <c r="S409" s="286" t="str">
        <f>B28</f>
        <v>Käsittelyä varten tehtävät puuston, asfalttipintojen  tai rakenteiden poisto</v>
      </c>
      <c r="T409" s="287"/>
      <c r="U409" s="288"/>
      <c r="V409" s="288"/>
      <c r="W409" s="288" t="s">
        <v>731</v>
      </c>
      <c r="X409" s="288" t="s">
        <v>348</v>
      </c>
      <c r="Y409" s="289">
        <f>SUM(Y410,Y411,Y412)</f>
        <v>0</v>
      </c>
      <c r="Z409" s="290" t="str">
        <f t="shared" ca="1" si="0"/>
        <v>--</v>
      </c>
      <c r="AA409" s="234"/>
      <c r="AB409" s="234"/>
      <c r="AC409" s="234"/>
      <c r="AD409" s="234"/>
      <c r="AN409" s="23"/>
      <c r="AO409" s="23"/>
      <c r="BF409" s="5"/>
      <c r="BG409" s="5"/>
    </row>
    <row r="410" spans="7:59" ht="13.9" customHeight="1" x14ac:dyDescent="0.3">
      <c r="G410" s="13"/>
      <c r="M410" s="87"/>
      <c r="N410" s="87"/>
      <c r="O410" s="87"/>
      <c r="Q410" s="24"/>
      <c r="R410" s="244"/>
      <c r="S410" s="212" t="s">
        <v>634</v>
      </c>
      <c r="T410" s="234"/>
      <c r="U410" s="234"/>
      <c r="V410" s="234"/>
      <c r="W410" s="234" t="s">
        <v>655</v>
      </c>
      <c r="X410" s="234" t="s">
        <v>348</v>
      </c>
      <c r="Y410" s="235">
        <f>SUM(R31)</f>
        <v>0</v>
      </c>
      <c r="Z410" s="284" t="str">
        <f t="shared" ca="1" si="0"/>
        <v>--</v>
      </c>
      <c r="AA410" s="234"/>
      <c r="AB410" s="234"/>
      <c r="AC410" s="234"/>
      <c r="AD410" s="234"/>
      <c r="AN410" s="23"/>
      <c r="AO410" s="23"/>
      <c r="BF410" s="5"/>
      <c r="BG410" s="5"/>
    </row>
    <row r="411" spans="7:59" ht="13.9" customHeight="1" x14ac:dyDescent="0.3">
      <c r="G411" s="13"/>
      <c r="M411" s="87"/>
      <c r="N411" s="87"/>
      <c r="O411" s="87"/>
      <c r="Q411" s="24"/>
      <c r="R411" s="244"/>
      <c r="S411" s="212" t="s">
        <v>631</v>
      </c>
      <c r="T411" s="234"/>
      <c r="U411" s="234"/>
      <c r="V411" s="234"/>
      <c r="W411" s="234" t="s">
        <v>655</v>
      </c>
      <c r="X411" s="234" t="s">
        <v>635</v>
      </c>
      <c r="Y411" s="235">
        <f>SUM(R32)</f>
        <v>0</v>
      </c>
      <c r="Z411" s="284" t="str">
        <f t="shared" ca="1" si="0"/>
        <v>--</v>
      </c>
      <c r="AA411" s="234"/>
      <c r="AB411" s="234"/>
      <c r="AC411" s="234"/>
      <c r="AD411" s="234"/>
      <c r="AN411" s="23"/>
      <c r="AO411" s="23"/>
      <c r="BF411" s="5"/>
      <c r="BG411" s="5"/>
    </row>
    <row r="412" spans="7:59" ht="13.9" customHeight="1" x14ac:dyDescent="0.3">
      <c r="G412" s="13"/>
      <c r="M412" s="87"/>
      <c r="N412" s="87"/>
      <c r="O412" s="87"/>
      <c r="Q412" s="24"/>
      <c r="R412" s="244"/>
      <c r="S412" s="212" t="s">
        <v>55</v>
      </c>
      <c r="T412" s="234"/>
      <c r="U412" s="234"/>
      <c r="V412" s="234"/>
      <c r="W412" s="234" t="s">
        <v>655</v>
      </c>
      <c r="X412" s="234" t="s">
        <v>348</v>
      </c>
      <c r="Y412" s="235">
        <f>SUM(R34)</f>
        <v>0</v>
      </c>
      <c r="Z412" s="284" t="str">
        <f t="shared" ca="1" si="0"/>
        <v>--</v>
      </c>
      <c r="AA412" s="234"/>
      <c r="AB412" s="234"/>
      <c r="AC412" s="234"/>
      <c r="AD412" s="234"/>
      <c r="AN412" s="23"/>
      <c r="AO412" s="23"/>
      <c r="BF412" s="5"/>
      <c r="BG412" s="5"/>
    </row>
    <row r="413" spans="7:59" ht="13.9" customHeight="1" x14ac:dyDescent="0.3">
      <c r="G413" s="13"/>
      <c r="M413" s="87"/>
      <c r="N413" s="87"/>
      <c r="O413" s="87"/>
      <c r="Q413" s="24"/>
      <c r="R413" s="244"/>
      <c r="S413" s="286" t="s">
        <v>632</v>
      </c>
      <c r="T413" s="288"/>
      <c r="U413" s="288"/>
      <c r="V413" s="288"/>
      <c r="W413" s="288" t="s">
        <v>666</v>
      </c>
      <c r="X413" s="288" t="s">
        <v>633</v>
      </c>
      <c r="Y413" s="289">
        <f>SUM(R30)</f>
        <v>0</v>
      </c>
      <c r="Z413" s="290" t="str">
        <f t="shared" ca="1" si="0"/>
        <v>--</v>
      </c>
      <c r="AA413" s="234"/>
      <c r="AB413" s="234"/>
      <c r="AC413" s="234"/>
      <c r="AD413" s="234"/>
      <c r="AN413" s="23"/>
      <c r="AO413" s="23"/>
      <c r="BF413" s="5"/>
      <c r="BG413" s="5"/>
    </row>
    <row r="414" spans="7:59" ht="13.9" customHeight="1" x14ac:dyDescent="0.3">
      <c r="G414" s="13"/>
      <c r="M414" s="87"/>
      <c r="N414" s="87"/>
      <c r="O414" s="87"/>
      <c r="Q414" s="24"/>
      <c r="R414" s="244"/>
      <c r="S414" s="286" t="str">
        <f>B37</f>
        <v>Valmisteluvaiheessa tarvittavat työkoneet</v>
      </c>
      <c r="T414" s="287"/>
      <c r="U414" s="288"/>
      <c r="V414" s="288"/>
      <c r="W414" s="288" t="s">
        <v>655</v>
      </c>
      <c r="X414" s="288" t="s">
        <v>348</v>
      </c>
      <c r="Y414" s="289">
        <f>SUM(R40,R44,R48)</f>
        <v>0</v>
      </c>
      <c r="Z414" s="290" t="str">
        <f t="shared" ca="1" si="0"/>
        <v>--</v>
      </c>
      <c r="AA414" s="234"/>
      <c r="AB414" s="234"/>
      <c r="AC414" s="234"/>
      <c r="AD414" s="234"/>
      <c r="AN414" s="23"/>
      <c r="AO414" s="23"/>
      <c r="BF414" s="5"/>
      <c r="BG414" s="5"/>
    </row>
    <row r="415" spans="7:59" ht="13.9" customHeight="1" x14ac:dyDescent="0.3">
      <c r="G415" s="13"/>
      <c r="M415" s="87"/>
      <c r="N415" s="87"/>
      <c r="O415" s="87"/>
      <c r="Q415" s="24"/>
      <c r="R415" s="244"/>
      <c r="S415" s="286" t="str">
        <f>B52</f>
        <v>Mahdollisten käsittelyssä poistettavien maa-ainesten ja purkumateriaalien kuljetukset pois alueelta</v>
      </c>
      <c r="T415" s="287"/>
      <c r="U415" s="288"/>
      <c r="V415" s="288"/>
      <c r="W415" s="288" t="s">
        <v>730</v>
      </c>
      <c r="X415" s="288" t="s">
        <v>664</v>
      </c>
      <c r="Y415" s="289">
        <f ca="1">SUM(Y416:Y417)</f>
        <v>0</v>
      </c>
      <c r="Z415" s="290" t="str">
        <f t="shared" ca="1" si="0"/>
        <v>--</v>
      </c>
      <c r="AA415" s="234"/>
      <c r="AB415" s="234"/>
      <c r="AC415" s="234"/>
      <c r="AD415" s="234"/>
      <c r="AN415" s="23"/>
      <c r="AO415" s="23"/>
      <c r="BF415" s="5"/>
      <c r="BG415" s="5"/>
    </row>
    <row r="416" spans="7:59" ht="13.9" customHeight="1" x14ac:dyDescent="0.3">
      <c r="G416" s="13"/>
      <c r="M416" s="87"/>
      <c r="N416" s="87"/>
      <c r="O416" s="87"/>
      <c r="Q416" s="24"/>
      <c r="R416" s="244"/>
      <c r="S416" s="212" t="s">
        <v>40</v>
      </c>
      <c r="T416" s="233"/>
      <c r="U416" s="234"/>
      <c r="V416" s="234"/>
      <c r="W416" s="234" t="s">
        <v>40</v>
      </c>
      <c r="X416" s="234" t="s">
        <v>664</v>
      </c>
      <c r="Y416" s="235">
        <f>SUM(AB55,AB60,AB65,AB70,AB75)</f>
        <v>0</v>
      </c>
      <c r="Z416" s="284" t="str">
        <f t="shared" ca="1" si="0"/>
        <v>--</v>
      </c>
      <c r="AA416" s="234"/>
      <c r="AB416" s="234"/>
      <c r="AC416" s="234"/>
      <c r="AD416" s="234"/>
      <c r="AN416" s="23"/>
      <c r="AO416" s="23"/>
      <c r="BF416" s="5"/>
      <c r="BG416" s="5"/>
    </row>
    <row r="417" spans="7:59" ht="13.9" customHeight="1" x14ac:dyDescent="0.3">
      <c r="G417" s="13"/>
      <c r="M417" s="87"/>
      <c r="N417" s="87"/>
      <c r="O417" s="87"/>
      <c r="Q417" s="24"/>
      <c r="R417" s="244"/>
      <c r="S417" s="212" t="s">
        <v>637</v>
      </c>
      <c r="T417" s="233"/>
      <c r="U417" s="234"/>
      <c r="V417" s="234"/>
      <c r="W417" s="234" t="s">
        <v>40</v>
      </c>
      <c r="X417" s="234" t="s">
        <v>664</v>
      </c>
      <c r="Y417" s="235">
        <f ca="1">SUM(AG55,AG60,AG65,AG70,AG75)</f>
        <v>0</v>
      </c>
      <c r="Z417" s="284" t="str">
        <f t="shared" ca="1" si="0"/>
        <v>--</v>
      </c>
      <c r="AA417" s="234"/>
      <c r="AB417" s="234"/>
      <c r="AC417" s="234"/>
      <c r="AD417" s="234"/>
      <c r="AN417" s="23"/>
      <c r="AO417" s="23"/>
      <c r="BF417" s="5"/>
      <c r="BG417" s="5"/>
    </row>
    <row r="418" spans="7:59" ht="13.9" customHeight="1" x14ac:dyDescent="0.3">
      <c r="G418" s="13"/>
      <c r="M418" s="87"/>
      <c r="N418" s="87"/>
      <c r="O418" s="87"/>
      <c r="Q418" s="24"/>
      <c r="R418" s="244"/>
      <c r="S418" s="286" t="str">
        <f>B82</f>
        <v>Mahdollisten korvaavien maa-ainesten määrä</v>
      </c>
      <c r="T418" s="287"/>
      <c r="U418" s="288"/>
      <c r="V418" s="288"/>
      <c r="W418" s="288" t="s">
        <v>654</v>
      </c>
      <c r="X418" s="288" t="s">
        <v>664</v>
      </c>
      <c r="Y418" s="289">
        <f>SUM(R84:R88)</f>
        <v>0</v>
      </c>
      <c r="Z418" s="290" t="str">
        <f t="shared" ca="1" si="0"/>
        <v>--</v>
      </c>
      <c r="AA418" s="234"/>
      <c r="AB418" s="234"/>
      <c r="AC418" s="234"/>
      <c r="AD418" s="234"/>
      <c r="AN418" s="23"/>
      <c r="AO418" s="23"/>
      <c r="BF418" s="5"/>
      <c r="BG418" s="5"/>
    </row>
    <row r="419" spans="7:59" ht="13.9" customHeight="1" x14ac:dyDescent="0.3">
      <c r="G419" s="13"/>
      <c r="M419" s="87"/>
      <c r="N419" s="87"/>
      <c r="O419" s="87"/>
      <c r="Q419" s="24"/>
      <c r="R419" s="244"/>
      <c r="S419" s="286" t="str">
        <f>B92</f>
        <v>Mahdollisten korvaavien maa-ainesten kuljetukset alueelle</v>
      </c>
      <c r="T419" s="287"/>
      <c r="U419" s="288"/>
      <c r="V419" s="288"/>
      <c r="W419" s="288" t="s">
        <v>730</v>
      </c>
      <c r="X419" s="288" t="s">
        <v>664</v>
      </c>
      <c r="Y419" s="289">
        <f ca="1">SUM(Y420,Y421)</f>
        <v>0</v>
      </c>
      <c r="Z419" s="290" t="str">
        <f t="shared" ca="1" si="0"/>
        <v>--</v>
      </c>
      <c r="AA419" s="234"/>
      <c r="AB419" s="234"/>
      <c r="AC419" s="234"/>
      <c r="AD419" s="234"/>
      <c r="AN419" s="23"/>
      <c r="AO419" s="23"/>
      <c r="BF419" s="5"/>
      <c r="BG419" s="5"/>
    </row>
    <row r="420" spans="7:59" ht="13.9" customHeight="1" x14ac:dyDescent="0.3">
      <c r="G420" s="13"/>
      <c r="M420" s="87"/>
      <c r="N420" s="87"/>
      <c r="O420" s="87"/>
      <c r="Q420" s="24"/>
      <c r="R420" s="244"/>
      <c r="S420" s="212" t="s">
        <v>40</v>
      </c>
      <c r="T420" s="234"/>
      <c r="U420" s="234"/>
      <c r="V420" s="234"/>
      <c r="W420" s="234" t="s">
        <v>40</v>
      </c>
      <c r="X420" s="234" t="s">
        <v>664</v>
      </c>
      <c r="Y420" s="235">
        <f>SUM(AB95,AB100,AB105,AB110,AB115)</f>
        <v>0</v>
      </c>
      <c r="Z420" s="284" t="str">
        <f t="shared" ca="1" si="0"/>
        <v>--</v>
      </c>
      <c r="AA420" s="234"/>
      <c r="AB420" s="234"/>
      <c r="AC420" s="234"/>
      <c r="AD420" s="234"/>
      <c r="AN420" s="23"/>
      <c r="AO420" s="23"/>
      <c r="BF420" s="5"/>
      <c r="BG420" s="5"/>
    </row>
    <row r="421" spans="7:59" ht="13.9" customHeight="1" x14ac:dyDescent="0.3">
      <c r="G421" s="13"/>
      <c r="M421" s="87"/>
      <c r="N421" s="87"/>
      <c r="O421" s="87"/>
      <c r="Q421" s="24"/>
      <c r="R421" s="244"/>
      <c r="S421" s="212" t="s">
        <v>637</v>
      </c>
      <c r="T421" s="234"/>
      <c r="U421" s="234"/>
      <c r="V421" s="234"/>
      <c r="W421" s="234" t="s">
        <v>40</v>
      </c>
      <c r="X421" s="234" t="s">
        <v>664</v>
      </c>
      <c r="Y421" s="235">
        <f ca="1">SUM(AG95,AG100,AG105,AG110,AG115)</f>
        <v>0</v>
      </c>
      <c r="Z421" s="284" t="str">
        <f t="shared" ca="1" si="0"/>
        <v>--</v>
      </c>
      <c r="AA421" s="234"/>
      <c r="AB421" s="234"/>
      <c r="AC421" s="234"/>
      <c r="AD421" s="234"/>
      <c r="AN421" s="23"/>
      <c r="AO421" s="23"/>
      <c r="BF421" s="5"/>
      <c r="BG421" s="5"/>
    </row>
    <row r="422" spans="7:59" ht="13.9" customHeight="1" x14ac:dyDescent="0.3">
      <c r="G422" s="13"/>
      <c r="M422" s="87"/>
      <c r="N422" s="87"/>
      <c r="O422" s="87"/>
      <c r="Q422" s="24"/>
      <c r="R422" s="244"/>
      <c r="S422" s="286" t="str">
        <f>B122</f>
        <v>Käsittelyssä käytettävien kasvien, kemikaalien ja kertakäyttöisten tuotteiden ja materiaalien valmistus</v>
      </c>
      <c r="T422" s="287"/>
      <c r="U422" s="288"/>
      <c r="V422" s="288"/>
      <c r="W422" s="288" t="s">
        <v>654</v>
      </c>
      <c r="X422" s="288" t="s">
        <v>664</v>
      </c>
      <c r="Y422" s="289">
        <f>SUM(R126,R129,R132,R135,R138)</f>
        <v>0</v>
      </c>
      <c r="Z422" s="290" t="str">
        <f t="shared" ca="1" si="0"/>
        <v>--</v>
      </c>
      <c r="AA422" s="234"/>
      <c r="AB422" s="234"/>
      <c r="AC422" s="234"/>
      <c r="AD422" s="234"/>
      <c r="AN422" s="23"/>
      <c r="AO422" s="23"/>
      <c r="BF422" s="5"/>
      <c r="BG422" s="5"/>
    </row>
    <row r="423" spans="7:59" ht="13.9" customHeight="1" x14ac:dyDescent="0.3">
      <c r="G423" s="13"/>
      <c r="M423" s="87"/>
      <c r="N423" s="87"/>
      <c r="O423" s="87"/>
      <c r="Q423" s="24"/>
      <c r="R423" s="244"/>
      <c r="S423" s="286" t="str">
        <f>B140</f>
        <v>Käsittelyssä käytettävien kemikaalien, tuotteiden ja materiaalien kuljetukset alueelle</v>
      </c>
      <c r="T423" s="287"/>
      <c r="U423" s="288"/>
      <c r="V423" s="288"/>
      <c r="W423" s="288" t="s">
        <v>40</v>
      </c>
      <c r="X423" s="288" t="s">
        <v>664</v>
      </c>
      <c r="Y423" s="289">
        <f>SUM(R146,R154,R162,R170,R178)</f>
        <v>0</v>
      </c>
      <c r="Z423" s="290" t="str">
        <f t="shared" ca="1" si="0"/>
        <v>--</v>
      </c>
      <c r="AA423" s="234"/>
      <c r="AB423" s="234"/>
      <c r="AC423" s="234"/>
      <c r="AD423" s="234"/>
      <c r="AN423" s="23"/>
      <c r="AO423" s="23"/>
      <c r="BF423" s="5"/>
      <c r="BG423" s="5"/>
    </row>
    <row r="424" spans="7:59" ht="13.9" customHeight="1" x14ac:dyDescent="0.3">
      <c r="G424" s="13"/>
      <c r="M424" s="87"/>
      <c r="N424" s="87"/>
      <c r="O424" s="87"/>
      <c r="Q424" s="24"/>
      <c r="R424" s="244"/>
      <c r="S424" s="286" t="str">
        <f>B186</f>
        <v>Kasvien istutukset</v>
      </c>
      <c r="T424" s="287"/>
      <c r="U424" s="288"/>
      <c r="V424" s="288"/>
      <c r="W424" s="288" t="s">
        <v>655</v>
      </c>
      <c r="X424" s="288" t="s">
        <v>664</v>
      </c>
      <c r="Y424" s="289">
        <f>SUM(R189,R193)</f>
        <v>0</v>
      </c>
      <c r="Z424" s="290" t="str">
        <f t="shared" ca="1" si="0"/>
        <v>--</v>
      </c>
      <c r="AA424" s="234"/>
      <c r="AB424" s="234"/>
      <c r="AC424" s="234"/>
      <c r="AD424" s="234"/>
      <c r="AN424" s="23"/>
      <c r="AO424" s="23"/>
      <c r="BF424" s="5"/>
      <c r="BG424" s="5"/>
    </row>
    <row r="425" spans="7:59" ht="13.9" customHeight="1" x14ac:dyDescent="0.3">
      <c r="G425" s="13"/>
      <c r="M425" s="87"/>
      <c r="N425" s="87"/>
      <c r="O425" s="87"/>
      <c r="Q425" s="24"/>
      <c r="R425" s="244"/>
      <c r="S425" s="286" t="str">
        <f>B197</f>
        <v>Kunnossapito ja mahdollinen haitta-aineita sisältävien kasvien kerääminen ja jatkokäsittely</v>
      </c>
      <c r="T425" s="287"/>
      <c r="U425" s="288"/>
      <c r="V425" s="288"/>
      <c r="W425" s="288" t="s">
        <v>655</v>
      </c>
      <c r="X425" s="288" t="s">
        <v>664</v>
      </c>
      <c r="Y425" s="289">
        <f>SUM(R200,R204)</f>
        <v>0</v>
      </c>
      <c r="Z425" s="290" t="str">
        <f t="shared" ca="1" si="0"/>
        <v>--</v>
      </c>
      <c r="AA425" s="234"/>
      <c r="AB425" s="234"/>
      <c r="AC425" s="234"/>
      <c r="AD425" s="234"/>
      <c r="AN425" s="23"/>
      <c r="AO425" s="23"/>
      <c r="BF425" s="5"/>
      <c r="BG425" s="5"/>
    </row>
    <row r="426" spans="7:59" ht="13.9" customHeight="1" x14ac:dyDescent="0.3">
      <c r="G426" s="13"/>
      <c r="M426" s="87"/>
      <c r="N426" s="87"/>
      <c r="O426" s="87"/>
      <c r="Q426" s="24"/>
      <c r="R426" s="244"/>
      <c r="S426" s="286" t="s">
        <v>42</v>
      </c>
      <c r="T426" s="288"/>
      <c r="U426" s="288"/>
      <c r="V426" s="288"/>
      <c r="W426" s="288" t="s">
        <v>732</v>
      </c>
      <c r="X426" s="288"/>
      <c r="Y426" s="289">
        <f>SUM(Y427:Y429)</f>
        <v>0</v>
      </c>
      <c r="Z426" s="290" t="str">
        <f t="shared" ca="1" si="0"/>
        <v>--</v>
      </c>
      <c r="AA426" s="234"/>
      <c r="AB426" s="234"/>
      <c r="AC426" s="234"/>
      <c r="AD426" s="234"/>
      <c r="AN426" s="23"/>
      <c r="AO426" s="23"/>
      <c r="BF426" s="5"/>
      <c r="BG426" s="5"/>
    </row>
    <row r="427" spans="7:59" ht="13.9" customHeight="1" x14ac:dyDescent="0.3">
      <c r="G427" s="13"/>
      <c r="M427" s="87"/>
      <c r="N427" s="87"/>
      <c r="O427" s="87"/>
      <c r="Q427" s="24"/>
      <c r="R427" s="244"/>
      <c r="S427" s="212" t="s">
        <v>60</v>
      </c>
      <c r="T427" s="234"/>
      <c r="U427" s="234"/>
      <c r="V427" s="234"/>
      <c r="W427" s="234" t="s">
        <v>663</v>
      </c>
      <c r="X427" s="234" t="s">
        <v>348</v>
      </c>
      <c r="Y427" s="235">
        <f>SUM(R212)</f>
        <v>0</v>
      </c>
      <c r="Z427" s="284" t="str">
        <f t="shared" ca="1" si="0"/>
        <v>--</v>
      </c>
      <c r="AA427" s="234"/>
      <c r="AB427" s="234"/>
      <c r="AC427" s="234"/>
      <c r="AD427" s="234"/>
      <c r="AN427" s="23"/>
      <c r="AO427" s="23"/>
      <c r="BF427" s="5"/>
      <c r="BG427" s="5"/>
    </row>
    <row r="428" spans="7:59" ht="13.9" customHeight="1" x14ac:dyDescent="0.3">
      <c r="G428" s="13"/>
      <c r="M428" s="87"/>
      <c r="N428" s="87"/>
      <c r="O428" s="87"/>
      <c r="Q428" s="24"/>
      <c r="R428" s="244"/>
      <c r="S428" s="212" t="s">
        <v>640</v>
      </c>
      <c r="T428" s="234"/>
      <c r="U428" s="234"/>
      <c r="V428" s="234"/>
      <c r="W428" s="234" t="s">
        <v>663</v>
      </c>
      <c r="X428" s="234" t="s">
        <v>664</v>
      </c>
      <c r="Y428" s="235">
        <f>SUM(R214)</f>
        <v>0</v>
      </c>
      <c r="Z428" s="284" t="str">
        <f t="shared" ca="1" si="0"/>
        <v>--</v>
      </c>
      <c r="AA428" s="234"/>
      <c r="AB428" s="234"/>
      <c r="AC428" s="234"/>
      <c r="AD428" s="234"/>
      <c r="AN428" s="23"/>
      <c r="AO428" s="23"/>
      <c r="BF428" s="5"/>
      <c r="BG428" s="5"/>
    </row>
    <row r="429" spans="7:59" ht="13.9" customHeight="1" x14ac:dyDescent="0.3">
      <c r="G429" s="13"/>
      <c r="M429" s="87"/>
      <c r="N429" s="87"/>
      <c r="O429" s="87"/>
      <c r="Q429" s="24"/>
      <c r="R429" s="244"/>
      <c r="S429" s="212" t="s">
        <v>641</v>
      </c>
      <c r="T429" s="234"/>
      <c r="U429" s="234"/>
      <c r="V429" s="234"/>
      <c r="W429" s="234" t="s">
        <v>663</v>
      </c>
      <c r="X429" s="234" t="s">
        <v>665</v>
      </c>
      <c r="Y429" s="235">
        <f>SUM(R301)</f>
        <v>0</v>
      </c>
      <c r="Z429" s="284" t="str">
        <f t="shared" ca="1" si="0"/>
        <v>--</v>
      </c>
      <c r="AA429" s="234"/>
      <c r="AB429" s="234"/>
      <c r="AC429" s="234"/>
      <c r="AD429" s="234"/>
      <c r="AN429" s="23"/>
      <c r="AO429" s="23"/>
      <c r="BF429" s="5"/>
      <c r="BG429" s="5"/>
    </row>
    <row r="430" spans="7:59" ht="13.9" customHeight="1" x14ac:dyDescent="0.3">
      <c r="G430" s="13"/>
      <c r="M430" s="87"/>
      <c r="N430" s="87"/>
      <c r="O430" s="87"/>
      <c r="Q430" s="24"/>
      <c r="R430" s="244"/>
      <c r="S430" s="291" t="str">
        <f>B222</f>
        <v>Rakenteiden purkaminen</v>
      </c>
      <c r="T430" s="288"/>
      <c r="U430" s="288"/>
      <c r="V430" s="288"/>
      <c r="W430" s="288" t="s">
        <v>655</v>
      </c>
      <c r="X430" s="288" t="s">
        <v>385</v>
      </c>
      <c r="Y430" s="289">
        <f>SUM(R225,R229,R233)</f>
        <v>0</v>
      </c>
      <c r="Z430" s="290" t="str">
        <f t="shared" ca="1" si="0"/>
        <v>--</v>
      </c>
      <c r="AA430" s="234"/>
      <c r="AB430" s="234"/>
      <c r="AC430" s="234"/>
      <c r="AD430" s="234"/>
      <c r="AN430" s="23"/>
      <c r="AO430" s="23"/>
      <c r="BF430" s="5"/>
      <c r="BG430" s="5"/>
    </row>
    <row r="431" spans="7:59" ht="13.9" customHeight="1" x14ac:dyDescent="0.3">
      <c r="G431" s="13"/>
      <c r="M431" s="87"/>
      <c r="N431" s="87"/>
      <c r="O431" s="87"/>
      <c r="Q431" s="24"/>
      <c r="R431" s="244"/>
      <c r="S431" s="291" t="str">
        <f>B237</f>
        <v>Poistettavien rakenteiden ja puhdistukseen päättämiseen liittyvien materiaalien kuljetukset</v>
      </c>
      <c r="T431" s="288"/>
      <c r="U431" s="288"/>
      <c r="V431" s="288"/>
      <c r="W431" s="288" t="s">
        <v>730</v>
      </c>
      <c r="X431" s="288" t="s">
        <v>385</v>
      </c>
      <c r="Y431" s="289">
        <f ca="1">SUM(Y432:Y433)</f>
        <v>0</v>
      </c>
      <c r="Z431" s="290" t="str">
        <f t="shared" ca="1" si="0"/>
        <v>--</v>
      </c>
      <c r="AA431" s="234"/>
      <c r="AB431" s="234"/>
      <c r="AC431" s="234"/>
      <c r="AD431" s="234"/>
      <c r="AN431" s="23"/>
      <c r="AO431" s="23"/>
      <c r="BF431" s="5"/>
      <c r="BG431" s="5"/>
    </row>
    <row r="432" spans="7:59" ht="13.9" customHeight="1" x14ac:dyDescent="0.3">
      <c r="G432" s="13"/>
      <c r="M432" s="87"/>
      <c r="N432" s="87"/>
      <c r="O432" s="87"/>
      <c r="Q432" s="24"/>
      <c r="R432" s="244"/>
      <c r="S432" s="252" t="s">
        <v>40</v>
      </c>
      <c r="T432" s="234"/>
      <c r="U432" s="234"/>
      <c r="V432" s="234"/>
      <c r="W432" s="234" t="s">
        <v>40</v>
      </c>
      <c r="X432" s="234" t="s">
        <v>385</v>
      </c>
      <c r="Y432" s="235">
        <f>SUM(AB240,AB245,AB250,AB255,AB260)</f>
        <v>0</v>
      </c>
      <c r="Z432" s="284" t="str">
        <f t="shared" ca="1" si="0"/>
        <v>--</v>
      </c>
      <c r="AA432" s="234"/>
      <c r="AB432" s="234"/>
      <c r="AC432" s="234"/>
      <c r="AD432" s="234"/>
      <c r="AN432" s="23"/>
      <c r="AO432" s="23"/>
      <c r="BF432" s="5"/>
      <c r="BG432" s="5"/>
    </row>
    <row r="433" spans="7:59" ht="13.9" customHeight="1" x14ac:dyDescent="0.3">
      <c r="G433" s="13"/>
      <c r="M433" s="87"/>
      <c r="N433" s="87"/>
      <c r="O433" s="87"/>
      <c r="Q433" s="24"/>
      <c r="R433" s="244"/>
      <c r="S433" s="252" t="s">
        <v>637</v>
      </c>
      <c r="T433" s="234"/>
      <c r="U433" s="234"/>
      <c r="V433" s="234"/>
      <c r="W433" s="234" t="s">
        <v>40</v>
      </c>
      <c r="X433" s="234" t="s">
        <v>385</v>
      </c>
      <c r="Y433" s="235">
        <f ca="1">SUM(AG240,AG245,AG250,AG255,AG260)</f>
        <v>0</v>
      </c>
      <c r="Z433" s="284" t="str">
        <f t="shared" ca="1" si="0"/>
        <v>--</v>
      </c>
      <c r="AA433" s="234"/>
      <c r="AB433" s="234"/>
      <c r="AC433" s="234"/>
      <c r="AD433" s="234"/>
      <c r="AN433" s="23"/>
      <c r="AO433" s="23"/>
      <c r="BF433" s="5"/>
      <c r="BG433" s="5"/>
    </row>
    <row r="434" spans="7:59" ht="13.9" customHeight="1" x14ac:dyDescent="0.3">
      <c r="G434" s="13"/>
      <c r="M434" s="87"/>
      <c r="N434" s="87"/>
      <c r="O434" s="87"/>
      <c r="Q434" s="24"/>
      <c r="R434" s="244"/>
      <c r="S434" s="212" t="str">
        <f>B267</f>
        <v>Jätteiden loppusijoitus</v>
      </c>
      <c r="T434" s="234"/>
      <c r="U434" s="234"/>
      <c r="V434" s="234"/>
      <c r="W434" s="234"/>
      <c r="X434" s="234"/>
      <c r="Y434" s="235"/>
      <c r="Z434" s="284" t="str">
        <f t="shared" ca="1" si="0"/>
        <v>--</v>
      </c>
      <c r="AA434" s="234"/>
      <c r="AB434" s="234"/>
      <c r="AC434" s="234"/>
      <c r="AD434" s="234"/>
      <c r="AN434" s="23"/>
      <c r="AO434" s="23"/>
      <c r="BF434" s="5"/>
      <c r="BG434" s="5"/>
    </row>
    <row r="435" spans="7:59" ht="13.9" customHeight="1" x14ac:dyDescent="0.3">
      <c r="G435" s="13"/>
      <c r="M435" s="87"/>
      <c r="N435" s="87"/>
      <c r="O435" s="87"/>
      <c r="Q435" s="24"/>
      <c r="R435" s="244"/>
      <c r="S435" s="292" t="str">
        <f>B269</f>
        <v>Poistettujen kertakäyttöisten rakenteiden ja materiaalien jatkokäsittely (pl. maa-ainekset)</v>
      </c>
      <c r="T435" s="288"/>
      <c r="U435" s="288"/>
      <c r="V435" s="288"/>
      <c r="W435" s="288" t="s">
        <v>657</v>
      </c>
      <c r="X435" s="288" t="s">
        <v>385</v>
      </c>
      <c r="Y435" s="289">
        <f>SUM(R271,R274,R277,R280,R283,R286)</f>
        <v>0</v>
      </c>
      <c r="Z435" s="290" t="str">
        <f t="shared" ca="1" si="0"/>
        <v>--</v>
      </c>
      <c r="AA435" s="234"/>
      <c r="AB435" s="234"/>
      <c r="AC435" s="234"/>
      <c r="AD435" s="234"/>
      <c r="AN435" s="23"/>
      <c r="AO435" s="23"/>
      <c r="BF435" s="5"/>
      <c r="BG435" s="5"/>
    </row>
    <row r="436" spans="7:59" ht="13.9" customHeight="1" x14ac:dyDescent="0.3">
      <c r="G436" s="13"/>
      <c r="M436" s="87"/>
      <c r="N436" s="87"/>
      <c r="O436" s="87"/>
      <c r="Q436" s="24"/>
      <c r="R436" s="244"/>
      <c r="S436" s="292" t="s">
        <v>671</v>
      </c>
      <c r="T436" s="288"/>
      <c r="U436" s="288"/>
      <c r="V436" s="288"/>
      <c r="W436" s="288" t="s">
        <v>642</v>
      </c>
      <c r="X436" s="288" t="s">
        <v>385</v>
      </c>
      <c r="Y436" s="289">
        <f>SUM(R275,R276,R279,R278,R281,R282,R284,R285,R287,R288)</f>
        <v>0</v>
      </c>
      <c r="Z436" s="290" t="str">
        <f t="shared" ca="1" si="0"/>
        <v>--</v>
      </c>
      <c r="AA436" s="234"/>
      <c r="AB436" s="234"/>
      <c r="AC436" s="234"/>
      <c r="AD436" s="234"/>
      <c r="AN436" s="23"/>
      <c r="AO436" s="23"/>
      <c r="BF436" s="5"/>
      <c r="BG436" s="5"/>
    </row>
    <row r="437" spans="7:59" ht="13.9" customHeight="1" x14ac:dyDescent="0.3">
      <c r="G437" s="13"/>
      <c r="M437" s="87"/>
      <c r="N437" s="87"/>
      <c r="O437" s="87"/>
      <c r="Q437" s="24"/>
      <c r="R437" s="244"/>
      <c r="S437" s="292" t="str">
        <f>B290</f>
        <v>Poistetun maan jatkokäsittely vastaanottopaikassa</v>
      </c>
      <c r="T437" s="288"/>
      <c r="U437" s="288"/>
      <c r="V437" s="288"/>
      <c r="W437" s="288" t="s">
        <v>657</v>
      </c>
      <c r="X437" s="288" t="s">
        <v>385</v>
      </c>
      <c r="Y437" s="289">
        <f>SUM(R292,R294)</f>
        <v>0</v>
      </c>
      <c r="Z437" s="290" t="str">
        <f t="shared" ca="1" si="0"/>
        <v>--</v>
      </c>
      <c r="AA437" s="234"/>
      <c r="AB437" s="234"/>
      <c r="AC437" s="234"/>
      <c r="AD437" s="234"/>
      <c r="AN437" s="23"/>
      <c r="AO437" s="23"/>
      <c r="BF437" s="5"/>
      <c r="BG437" s="5"/>
    </row>
    <row r="438" spans="7:59" ht="13.9" customHeight="1" x14ac:dyDescent="0.3">
      <c r="G438" s="13"/>
      <c r="M438" s="87"/>
      <c r="N438" s="87"/>
      <c r="O438" s="87"/>
      <c r="Q438" s="24"/>
      <c r="R438" s="244"/>
      <c r="S438" s="292" t="s">
        <v>672</v>
      </c>
      <c r="T438" s="288"/>
      <c r="U438" s="288"/>
      <c r="V438" s="288"/>
      <c r="W438" s="288" t="s">
        <v>642</v>
      </c>
      <c r="X438" s="288" t="s">
        <v>385</v>
      </c>
      <c r="Y438" s="289">
        <f>SUM(R295)</f>
        <v>0</v>
      </c>
      <c r="Z438" s="290" t="str">
        <f t="shared" ca="1" si="0"/>
        <v>--</v>
      </c>
      <c r="AA438" s="234"/>
      <c r="AB438" s="234"/>
      <c r="AC438" s="234"/>
      <c r="AD438" s="234"/>
      <c r="AN438" s="23"/>
      <c r="AO438" s="23"/>
      <c r="BF438" s="5"/>
      <c r="BG438" s="5"/>
    </row>
    <row r="439" spans="7:59" ht="13.9" customHeight="1" x14ac:dyDescent="0.3">
      <c r="G439" s="13"/>
      <c r="M439" s="87"/>
      <c r="N439" s="87"/>
      <c r="O439" s="87"/>
      <c r="Q439" s="24"/>
      <c r="R439" s="244"/>
      <c r="S439" s="23"/>
      <c r="T439" s="234"/>
      <c r="U439" s="234"/>
      <c r="V439" s="234"/>
      <c r="W439" s="234"/>
      <c r="X439" s="234"/>
      <c r="Y439" s="235"/>
      <c r="Z439" s="284"/>
      <c r="AA439" s="234"/>
      <c r="AB439" s="234"/>
      <c r="AC439" s="234"/>
      <c r="AD439" s="234"/>
      <c r="AN439" s="23"/>
      <c r="AO439" s="23"/>
      <c r="BF439" s="5"/>
      <c r="BG439" s="5"/>
    </row>
    <row r="440" spans="7:59" ht="13.9" customHeight="1" x14ac:dyDescent="0.3">
      <c r="G440" s="13"/>
      <c r="M440" s="87"/>
      <c r="N440" s="87"/>
      <c r="O440" s="87"/>
      <c r="Q440" s="24"/>
      <c r="R440" s="244"/>
      <c r="S440" s="23" t="s">
        <v>643</v>
      </c>
      <c r="T440" s="234"/>
      <c r="U440" s="234"/>
      <c r="V440" s="234"/>
      <c r="W440" s="234"/>
      <c r="X440" s="234"/>
      <c r="Y440" s="293">
        <f ca="1">SUM(Y435,Y437,Y430:Y431,Y422:Y426,Y418:Y419,Y414:Y415,Y409,Y402)</f>
        <v>0</v>
      </c>
      <c r="Z440" s="284">
        <f ca="1">SUM(Z435,Z437,Z430:Z431,Z422:Z426,Z418:Z419,Z414:Z415,Z409,Z402)</f>
        <v>0</v>
      </c>
      <c r="AA440" s="234"/>
      <c r="AB440" s="234"/>
      <c r="AC440" s="234"/>
      <c r="AD440" s="234"/>
      <c r="AN440" s="23"/>
      <c r="AO440" s="23"/>
      <c r="BF440" s="5"/>
      <c r="BG440" s="5"/>
    </row>
    <row r="441" spans="7:59" ht="13.9" customHeight="1" x14ac:dyDescent="0.3">
      <c r="G441" s="13"/>
      <c r="M441" s="87"/>
      <c r="N441" s="87"/>
      <c r="O441" s="87"/>
      <c r="Q441" s="24"/>
      <c r="R441" s="244"/>
      <c r="S441" s="103"/>
      <c r="T441" s="234"/>
      <c r="U441" s="234"/>
      <c r="V441" s="234"/>
      <c r="W441" s="234"/>
      <c r="X441" s="234"/>
      <c r="Y441" s="235"/>
      <c r="Z441" s="234"/>
      <c r="AA441" s="234"/>
      <c r="AB441" s="234"/>
      <c r="AC441" s="234"/>
      <c r="AD441" s="234"/>
      <c r="AN441" s="23"/>
      <c r="AO441" s="23"/>
      <c r="BF441" s="5"/>
      <c r="BG441" s="5"/>
    </row>
    <row r="442" spans="7:59" ht="13.9" customHeight="1" x14ac:dyDescent="0.3">
      <c r="G442" s="13"/>
      <c r="M442" s="87"/>
      <c r="N442" s="87"/>
      <c r="O442" s="87"/>
      <c r="Q442" s="24"/>
      <c r="R442" s="244"/>
      <c r="S442" s="103" t="s">
        <v>659</v>
      </c>
      <c r="T442" s="234"/>
      <c r="U442" s="234"/>
      <c r="V442" s="234"/>
      <c r="W442" s="234"/>
      <c r="X442" s="235"/>
      <c r="Y442" s="235">
        <f>SUM(Y413)</f>
        <v>0</v>
      </c>
      <c r="Z442" s="234"/>
      <c r="AA442" s="234"/>
      <c r="AB442" s="234"/>
      <c r="AC442" s="234"/>
      <c r="AD442" s="234"/>
      <c r="AN442" s="23"/>
      <c r="AO442" s="23"/>
      <c r="BF442" s="5"/>
      <c r="BG442" s="5"/>
    </row>
    <row r="443" spans="7:59" ht="13.9" customHeight="1" x14ac:dyDescent="0.3">
      <c r="G443" s="13"/>
      <c r="M443" s="87"/>
      <c r="N443" s="87"/>
      <c r="O443" s="87"/>
      <c r="Q443" s="24"/>
      <c r="R443" s="244"/>
      <c r="S443" s="103" t="s">
        <v>660</v>
      </c>
      <c r="T443" s="234"/>
      <c r="U443" s="234"/>
      <c r="V443" s="234"/>
      <c r="W443" s="234"/>
      <c r="X443" s="234"/>
      <c r="Y443" s="234" t="s">
        <v>661</v>
      </c>
      <c r="Z443" s="234"/>
      <c r="AA443" s="234"/>
      <c r="AB443" s="234"/>
      <c r="AC443" s="234"/>
      <c r="AD443" s="234"/>
      <c r="AN443" s="23"/>
      <c r="AO443" s="23"/>
      <c r="BF443" s="5"/>
      <c r="BG443" s="5"/>
    </row>
    <row r="444" spans="7:59" ht="13.9" customHeight="1" x14ac:dyDescent="0.3">
      <c r="G444" s="13"/>
      <c r="M444" s="87"/>
      <c r="N444" s="87"/>
      <c r="O444" s="87"/>
      <c r="Q444" s="24"/>
      <c r="R444" s="244"/>
      <c r="S444" s="22"/>
      <c r="T444" s="234"/>
      <c r="U444" s="234"/>
      <c r="V444" s="234"/>
      <c r="W444" s="234"/>
      <c r="X444" s="234"/>
      <c r="Y444" s="234"/>
      <c r="Z444" s="234"/>
      <c r="AA444" s="234"/>
      <c r="AB444" s="234"/>
      <c r="AC444" s="234"/>
      <c r="AD444" s="234"/>
      <c r="AN444" s="23"/>
      <c r="AO444" s="23"/>
      <c r="BF444" s="5"/>
      <c r="BG444" s="5"/>
    </row>
    <row r="445" spans="7:59" ht="13.9" customHeight="1" x14ac:dyDescent="0.3">
      <c r="G445" s="13"/>
      <c r="M445" s="87"/>
      <c r="N445" s="87"/>
      <c r="O445" s="87"/>
      <c r="Q445" s="24"/>
      <c r="R445" s="244"/>
      <c r="S445" s="103" t="s">
        <v>386</v>
      </c>
      <c r="T445" s="234"/>
      <c r="U445" s="234"/>
      <c r="V445" s="234"/>
      <c r="W445" s="234"/>
      <c r="X445" s="234"/>
      <c r="Y445" s="235">
        <f>SUM(Y438,Y436)</f>
        <v>0</v>
      </c>
      <c r="Z445" s="234"/>
      <c r="AA445" s="234"/>
      <c r="AB445" s="234"/>
      <c r="AC445" s="234"/>
      <c r="AD445" s="234"/>
      <c r="AN445" s="23"/>
      <c r="AO445" s="23"/>
      <c r="BF445" s="5"/>
      <c r="BG445" s="5"/>
    </row>
    <row r="446" spans="7:59" ht="13.9" customHeight="1" x14ac:dyDescent="0.3">
      <c r="G446" s="13"/>
      <c r="M446" s="87"/>
      <c r="N446" s="87"/>
      <c r="O446" s="87"/>
      <c r="Q446" s="24"/>
      <c r="R446" s="244"/>
      <c r="S446" s="103"/>
      <c r="T446" s="234"/>
      <c r="U446" s="234"/>
      <c r="V446" s="234"/>
      <c r="W446" s="234"/>
      <c r="X446" s="234"/>
      <c r="Y446" s="235"/>
      <c r="Z446" s="234"/>
      <c r="AA446" s="234"/>
      <c r="AB446" s="234"/>
      <c r="AC446" s="234"/>
      <c r="AD446" s="234"/>
      <c r="AN446" s="23"/>
      <c r="AO446" s="23"/>
      <c r="BF446" s="5"/>
      <c r="BG446" s="5"/>
    </row>
    <row r="447" spans="7:59" ht="13.9" hidden="1" customHeight="1" x14ac:dyDescent="0.3">
      <c r="G447" s="13"/>
      <c r="M447" s="87"/>
      <c r="N447" s="87"/>
      <c r="O447" s="87"/>
      <c r="Q447" s="24"/>
      <c r="R447" s="244"/>
      <c r="S447" s="103"/>
      <c r="T447" s="234"/>
      <c r="U447" s="234"/>
      <c r="V447" s="234"/>
      <c r="W447" s="234"/>
      <c r="X447" s="234"/>
      <c r="Y447" s="235"/>
      <c r="Z447" s="234"/>
      <c r="AA447" s="234"/>
      <c r="AB447" s="234"/>
      <c r="AC447" s="234"/>
      <c r="AD447" s="234"/>
      <c r="AN447" s="23"/>
      <c r="AO447" s="23"/>
      <c r="BF447" s="5"/>
      <c r="BG447" s="5"/>
    </row>
    <row r="448" spans="7:59" ht="13.9" hidden="1" customHeight="1" x14ac:dyDescent="0.3">
      <c r="G448" s="13"/>
      <c r="M448" s="87"/>
      <c r="N448" s="87"/>
      <c r="O448" s="87"/>
      <c r="Q448" s="24"/>
      <c r="R448" s="244"/>
      <c r="S448" s="103"/>
      <c r="T448" s="234"/>
      <c r="U448" s="234"/>
      <c r="V448" s="234"/>
      <c r="W448" s="234"/>
      <c r="X448" s="234"/>
      <c r="Y448" s="235"/>
      <c r="Z448" s="234"/>
      <c r="AA448" s="234"/>
      <c r="AB448" s="234"/>
      <c r="AC448" s="234"/>
      <c r="AD448" s="234"/>
      <c r="AN448" s="23"/>
      <c r="AO448" s="23"/>
      <c r="BF448" s="5"/>
      <c r="BG448" s="5"/>
    </row>
    <row r="449" spans="7:59" ht="13.9" hidden="1" customHeight="1" x14ac:dyDescent="0.3">
      <c r="G449" s="13"/>
      <c r="M449" s="87"/>
      <c r="N449" s="87"/>
      <c r="O449" s="87"/>
      <c r="Q449" s="24"/>
      <c r="R449" s="244"/>
      <c r="S449" s="103"/>
      <c r="T449" s="234"/>
      <c r="U449" s="234"/>
      <c r="V449" s="234"/>
      <c r="W449" s="234"/>
      <c r="X449" s="234"/>
      <c r="Y449" s="235"/>
      <c r="Z449" s="234"/>
      <c r="AA449" s="234"/>
      <c r="AB449" s="234"/>
      <c r="AC449" s="234"/>
      <c r="AD449" s="234"/>
      <c r="AN449" s="23"/>
      <c r="AO449" s="23"/>
      <c r="BF449" s="5"/>
      <c r="BG449" s="5"/>
    </row>
    <row r="450" spans="7:59" ht="13.9" hidden="1" customHeight="1" x14ac:dyDescent="0.3">
      <c r="G450" s="13"/>
      <c r="M450" s="87"/>
      <c r="N450" s="87"/>
      <c r="O450" s="87"/>
      <c r="Q450" s="24"/>
      <c r="R450" s="244"/>
      <c r="S450" s="103"/>
      <c r="T450" s="234"/>
      <c r="U450" s="234"/>
      <c r="V450" s="234"/>
      <c r="W450" s="234"/>
      <c r="X450" s="234"/>
      <c r="Y450" s="235"/>
      <c r="Z450" s="234"/>
      <c r="AA450" s="234"/>
      <c r="AB450" s="234"/>
      <c r="AC450" s="234"/>
      <c r="AD450" s="234"/>
      <c r="AN450" s="23"/>
      <c r="AO450" s="23"/>
      <c r="BF450" s="5"/>
      <c r="BG450" s="5"/>
    </row>
    <row r="451" spans="7:59" ht="13.9" hidden="1" customHeight="1" x14ac:dyDescent="0.3">
      <c r="G451" s="13"/>
      <c r="M451" s="87"/>
      <c r="N451" s="87"/>
      <c r="O451" s="87"/>
      <c r="Q451" s="24"/>
      <c r="R451" s="244"/>
      <c r="S451" s="103"/>
      <c r="T451" s="234"/>
      <c r="U451" s="234"/>
      <c r="V451" s="234"/>
      <c r="W451" s="234"/>
      <c r="X451" s="234"/>
      <c r="Y451" s="235"/>
      <c r="Z451" s="234"/>
      <c r="AA451" s="234"/>
      <c r="AB451" s="234"/>
      <c r="AC451" s="234"/>
      <c r="AD451" s="234"/>
      <c r="AN451" s="23"/>
      <c r="AO451" s="23"/>
      <c r="BF451" s="5"/>
      <c r="BG451" s="5"/>
    </row>
    <row r="452" spans="7:59" ht="13.9" hidden="1" customHeight="1" x14ac:dyDescent="0.3">
      <c r="G452" s="13"/>
      <c r="M452" s="87"/>
      <c r="N452" s="87"/>
      <c r="O452" s="87"/>
      <c r="Q452" s="24"/>
      <c r="R452" s="244"/>
      <c r="S452" s="103"/>
      <c r="T452" s="234"/>
      <c r="U452" s="234"/>
      <c r="V452" s="234"/>
      <c r="W452" s="234"/>
      <c r="X452" s="234"/>
      <c r="Y452" s="235"/>
      <c r="Z452" s="234"/>
      <c r="AA452" s="234"/>
      <c r="AB452" s="234"/>
      <c r="AC452" s="234"/>
      <c r="AD452" s="234"/>
      <c r="AN452" s="23"/>
      <c r="AO452" s="23"/>
      <c r="BF452" s="5"/>
      <c r="BG452" s="5"/>
    </row>
    <row r="453" spans="7:59" ht="13.9" hidden="1" customHeight="1" x14ac:dyDescent="0.3">
      <c r="G453" s="13"/>
      <c r="M453" s="87"/>
      <c r="N453" s="87"/>
      <c r="O453" s="87"/>
      <c r="Q453" s="24"/>
      <c r="R453" s="244"/>
      <c r="S453" s="103"/>
      <c r="T453" s="234"/>
      <c r="U453" s="234"/>
      <c r="V453" s="234"/>
      <c r="W453" s="234"/>
      <c r="X453" s="234"/>
      <c r="Y453" s="235"/>
      <c r="Z453" s="234"/>
      <c r="AA453" s="234"/>
      <c r="AB453" s="234"/>
      <c r="AC453" s="234"/>
      <c r="AD453" s="234"/>
      <c r="AN453" s="23"/>
      <c r="AO453" s="23"/>
      <c r="BF453" s="5"/>
      <c r="BG453" s="5"/>
    </row>
    <row r="454" spans="7:59" ht="13.9" hidden="1" customHeight="1" x14ac:dyDescent="0.3">
      <c r="G454" s="13"/>
      <c r="M454" s="87"/>
      <c r="N454" s="87"/>
      <c r="O454" s="87"/>
      <c r="Q454" s="24"/>
      <c r="R454" s="244"/>
      <c r="S454" s="103"/>
      <c r="T454" s="234"/>
      <c r="U454" s="234"/>
      <c r="V454" s="234"/>
      <c r="W454" s="234"/>
      <c r="X454" s="234"/>
      <c r="Y454" s="235"/>
      <c r="Z454" s="234"/>
      <c r="AA454" s="234"/>
      <c r="AB454" s="234"/>
      <c r="AC454" s="234"/>
      <c r="AD454" s="234"/>
      <c r="AN454" s="23"/>
      <c r="AO454" s="23"/>
      <c r="BF454" s="5"/>
      <c r="BG454" s="5"/>
    </row>
    <row r="455" spans="7:59" ht="13.9" hidden="1" customHeight="1" x14ac:dyDescent="0.3">
      <c r="G455" s="13"/>
      <c r="M455" s="87"/>
      <c r="N455" s="87"/>
      <c r="O455" s="87"/>
      <c r="Q455" s="24"/>
      <c r="R455" s="244"/>
      <c r="S455" s="103"/>
      <c r="T455" s="234"/>
      <c r="U455" s="234"/>
      <c r="V455" s="234"/>
      <c r="W455" s="234"/>
      <c r="X455" s="234"/>
      <c r="Y455" s="235"/>
      <c r="Z455" s="234"/>
      <c r="AA455" s="234"/>
      <c r="AB455" s="234"/>
      <c r="AC455" s="234"/>
      <c r="AD455" s="234"/>
      <c r="AN455" s="23"/>
      <c r="AO455" s="23"/>
      <c r="BF455" s="5"/>
      <c r="BG455" s="5"/>
    </row>
    <row r="456" spans="7:59" ht="13.9" hidden="1" customHeight="1" x14ac:dyDescent="0.3">
      <c r="G456" s="13"/>
      <c r="M456" s="87"/>
      <c r="N456" s="87"/>
      <c r="O456" s="87"/>
      <c r="Q456" s="24"/>
      <c r="R456" s="244"/>
      <c r="S456" s="103"/>
      <c r="T456" s="234"/>
      <c r="U456" s="234"/>
      <c r="V456" s="234"/>
      <c r="W456" s="234"/>
      <c r="X456" s="234"/>
      <c r="Y456" s="235"/>
      <c r="Z456" s="234"/>
      <c r="AA456" s="234"/>
      <c r="AB456" s="234"/>
      <c r="AC456" s="234"/>
      <c r="AD456" s="234"/>
      <c r="AN456" s="23"/>
      <c r="AO456" s="23"/>
      <c r="BF456" s="5"/>
      <c r="BG456" s="5"/>
    </row>
    <row r="457" spans="7:59" ht="13.9" hidden="1" customHeight="1" x14ac:dyDescent="0.3">
      <c r="G457" s="13"/>
      <c r="M457" s="87"/>
      <c r="N457" s="87"/>
      <c r="O457" s="87"/>
      <c r="Q457" s="24"/>
      <c r="R457" s="244"/>
      <c r="S457" s="103"/>
      <c r="T457" s="234"/>
      <c r="U457" s="234"/>
      <c r="V457" s="234"/>
      <c r="W457" s="234"/>
      <c r="X457" s="234"/>
      <c r="Y457" s="235"/>
      <c r="Z457" s="234"/>
      <c r="AA457" s="234"/>
      <c r="AB457" s="234"/>
      <c r="AC457" s="234"/>
      <c r="AD457" s="234"/>
      <c r="AN457" s="23"/>
      <c r="AO457" s="23"/>
      <c r="BF457" s="5"/>
      <c r="BG457" s="5"/>
    </row>
    <row r="458" spans="7:59" ht="13.9" hidden="1" customHeight="1" x14ac:dyDescent="0.3">
      <c r="G458" s="13"/>
      <c r="M458" s="87"/>
      <c r="N458" s="87"/>
      <c r="O458" s="87"/>
      <c r="Q458" s="24"/>
      <c r="R458" s="244"/>
      <c r="S458" s="103"/>
      <c r="T458" s="234"/>
      <c r="U458" s="234"/>
      <c r="V458" s="234"/>
      <c r="W458" s="234"/>
      <c r="X458" s="234"/>
      <c r="Y458" s="235"/>
      <c r="Z458" s="234"/>
      <c r="AA458" s="234"/>
      <c r="AB458" s="234"/>
      <c r="AC458" s="234"/>
      <c r="AD458" s="234"/>
      <c r="AN458" s="23"/>
      <c r="AO458" s="23"/>
      <c r="BF458" s="5"/>
      <c r="BG458" s="5"/>
    </row>
    <row r="459" spans="7:59" ht="13.9" hidden="1" customHeight="1" x14ac:dyDescent="0.3">
      <c r="G459" s="13"/>
      <c r="M459" s="87"/>
      <c r="N459" s="87"/>
      <c r="O459" s="87"/>
      <c r="Q459" s="24"/>
      <c r="R459" s="244"/>
      <c r="S459" s="103"/>
      <c r="T459" s="234"/>
      <c r="U459" s="234"/>
      <c r="V459" s="234"/>
      <c r="W459" s="234"/>
      <c r="X459" s="234"/>
      <c r="Y459" s="235"/>
      <c r="Z459" s="234"/>
      <c r="AA459" s="234"/>
      <c r="AB459" s="234"/>
      <c r="AC459" s="234"/>
      <c r="AD459" s="234"/>
      <c r="AN459" s="23"/>
      <c r="AO459" s="23"/>
      <c r="BF459" s="5"/>
      <c r="BG459" s="5"/>
    </row>
    <row r="460" spans="7:59" ht="13.9" hidden="1" customHeight="1" x14ac:dyDescent="0.3">
      <c r="G460" s="13"/>
      <c r="M460" s="87"/>
      <c r="N460" s="87"/>
      <c r="O460" s="87"/>
      <c r="Q460" s="24"/>
      <c r="R460" s="244"/>
      <c r="S460" s="103"/>
      <c r="T460" s="234"/>
      <c r="U460" s="234"/>
      <c r="V460" s="234"/>
      <c r="W460" s="234"/>
      <c r="X460" s="234"/>
      <c r="Y460" s="235"/>
      <c r="Z460" s="234"/>
      <c r="AA460" s="234"/>
      <c r="AB460" s="234"/>
      <c r="AC460" s="234"/>
      <c r="AD460" s="234"/>
      <c r="AN460" s="23"/>
      <c r="AO460" s="23"/>
      <c r="BF460" s="5"/>
      <c r="BG460" s="5"/>
    </row>
    <row r="461" spans="7:59" ht="13.9" hidden="1" customHeight="1" x14ac:dyDescent="0.3">
      <c r="G461" s="13"/>
      <c r="M461" s="87"/>
      <c r="N461" s="87"/>
      <c r="O461" s="87"/>
      <c r="Q461" s="24"/>
      <c r="R461" s="244"/>
      <c r="S461" s="103"/>
      <c r="T461" s="234"/>
      <c r="U461" s="234"/>
      <c r="V461" s="234"/>
      <c r="W461" s="234"/>
      <c r="X461" s="234"/>
      <c r="Y461" s="235"/>
      <c r="Z461" s="234"/>
      <c r="AA461" s="234"/>
      <c r="AB461" s="234"/>
      <c r="AC461" s="234"/>
      <c r="AD461" s="234"/>
      <c r="AN461" s="23"/>
      <c r="AO461" s="23"/>
      <c r="BF461" s="5"/>
      <c r="BG461" s="5"/>
    </row>
    <row r="462" spans="7:59" ht="13.9" hidden="1" customHeight="1" x14ac:dyDescent="0.3">
      <c r="G462" s="13"/>
      <c r="M462" s="87"/>
      <c r="N462" s="87"/>
      <c r="O462" s="87"/>
      <c r="Q462" s="24"/>
      <c r="R462" s="244"/>
      <c r="S462" s="103"/>
      <c r="T462" s="234"/>
      <c r="U462" s="234"/>
      <c r="V462" s="234"/>
      <c r="W462" s="234"/>
      <c r="X462" s="234"/>
      <c r="Y462" s="235"/>
      <c r="Z462" s="234"/>
      <c r="AA462" s="234"/>
      <c r="AB462" s="234"/>
      <c r="AC462" s="234"/>
      <c r="AD462" s="234"/>
      <c r="AN462" s="23"/>
      <c r="AO462" s="23"/>
      <c r="BF462" s="5"/>
      <c r="BG462" s="5"/>
    </row>
    <row r="463" spans="7:59" ht="13.9" hidden="1" customHeight="1" x14ac:dyDescent="0.3">
      <c r="G463" s="13"/>
      <c r="M463" s="87"/>
      <c r="N463" s="87"/>
      <c r="O463" s="87"/>
      <c r="Q463" s="24"/>
      <c r="R463" s="244"/>
      <c r="S463" s="103"/>
      <c r="T463" s="234"/>
      <c r="U463" s="234"/>
      <c r="V463" s="234"/>
      <c r="W463" s="234"/>
      <c r="X463" s="234"/>
      <c r="Y463" s="235"/>
      <c r="Z463" s="234"/>
      <c r="AA463" s="234"/>
      <c r="AB463" s="234"/>
      <c r="AC463" s="234"/>
      <c r="AD463" s="234"/>
      <c r="AN463" s="23"/>
      <c r="AO463" s="23"/>
      <c r="BF463" s="5"/>
      <c r="BG463" s="5"/>
    </row>
    <row r="464" spans="7:59" ht="13.9" hidden="1" customHeight="1" x14ac:dyDescent="0.3">
      <c r="G464" s="13"/>
      <c r="M464" s="87"/>
      <c r="N464" s="87"/>
      <c r="O464" s="87"/>
      <c r="Q464" s="24"/>
      <c r="R464" s="244"/>
      <c r="S464" s="103"/>
      <c r="T464" s="234"/>
      <c r="U464" s="234"/>
      <c r="V464" s="234"/>
      <c r="W464" s="234"/>
      <c r="X464" s="234"/>
      <c r="Y464" s="235"/>
      <c r="Z464" s="234"/>
      <c r="AA464" s="234"/>
      <c r="AB464" s="234"/>
      <c r="AC464" s="234"/>
      <c r="AD464" s="234"/>
      <c r="AN464" s="23"/>
      <c r="AO464" s="23"/>
      <c r="BF464" s="5"/>
      <c r="BG464" s="5"/>
    </row>
    <row r="465" spans="7:59" ht="13.9" customHeight="1" x14ac:dyDescent="0.3">
      <c r="G465" s="13"/>
      <c r="M465" s="87"/>
      <c r="N465" s="87"/>
      <c r="O465" s="87"/>
      <c r="Q465" s="24"/>
      <c r="R465" s="244"/>
      <c r="S465" s="103" t="s">
        <v>654</v>
      </c>
      <c r="T465" s="234"/>
      <c r="U465" s="235">
        <f>SUMIFS($Y$402:$Y$438,$W$402:$W$438,S465)</f>
        <v>0</v>
      </c>
      <c r="V465" s="284" t="str">
        <f ca="1">IF(ISERROR(U465/$U$471),"--",U465/$U$471)</f>
        <v>--</v>
      </c>
      <c r="W465" s="234"/>
      <c r="X465" s="234"/>
      <c r="Y465" s="234"/>
      <c r="Z465" s="234"/>
      <c r="AA465" s="234"/>
      <c r="AB465" s="234"/>
      <c r="AC465" s="234"/>
      <c r="AD465" s="234"/>
      <c r="AN465" s="23"/>
      <c r="AO465" s="23"/>
      <c r="BF465" s="5"/>
      <c r="BG465" s="5"/>
    </row>
    <row r="466" spans="7:59" ht="13.9" customHeight="1" x14ac:dyDescent="0.3">
      <c r="G466" s="13"/>
      <c r="M466" s="87"/>
      <c r="N466" s="87"/>
      <c r="O466" s="87"/>
      <c r="Q466" s="24"/>
      <c r="R466" s="244"/>
      <c r="S466" s="103" t="s">
        <v>40</v>
      </c>
      <c r="T466" s="234"/>
      <c r="U466" s="235">
        <f t="shared" ref="U466:U470" ca="1" si="1">SUMIFS($Y$402:$Y$438,$W$402:$W$438,S466)</f>
        <v>0</v>
      </c>
      <c r="V466" s="284" t="str">
        <f t="shared" ref="V466:V471" ca="1" si="2">IF(ISERROR(U466/$U$471),"--",U466/$U$471)</f>
        <v>--</v>
      </c>
      <c r="W466" s="234"/>
      <c r="X466" s="234"/>
      <c r="Y466" s="234"/>
      <c r="Z466" s="234"/>
      <c r="AA466" s="234"/>
      <c r="AB466" s="234"/>
      <c r="AC466" s="234"/>
      <c r="AD466" s="234"/>
      <c r="AN466" s="23"/>
      <c r="AO466" s="23"/>
      <c r="BF466" s="5"/>
      <c r="BG466" s="5"/>
    </row>
    <row r="467" spans="7:59" ht="13.9" customHeight="1" x14ac:dyDescent="0.3">
      <c r="G467" s="13"/>
      <c r="M467" s="87"/>
      <c r="N467" s="87"/>
      <c r="O467" s="87"/>
      <c r="Q467" s="24"/>
      <c r="R467" s="244"/>
      <c r="S467" s="103" t="s">
        <v>655</v>
      </c>
      <c r="T467" s="234"/>
      <c r="U467" s="235">
        <f t="shared" si="1"/>
        <v>0</v>
      </c>
      <c r="V467" s="284" t="str">
        <f t="shared" ca="1" si="2"/>
        <v>--</v>
      </c>
      <c r="W467" s="234"/>
      <c r="X467" s="234"/>
      <c r="Y467" s="234"/>
      <c r="Z467" s="234"/>
      <c r="AA467" s="234"/>
      <c r="AB467" s="234"/>
      <c r="AC467" s="234"/>
      <c r="AD467" s="234"/>
      <c r="AN467" s="23"/>
      <c r="AO467" s="23"/>
      <c r="BF467" s="5"/>
      <c r="BG467" s="5"/>
    </row>
    <row r="468" spans="7:59" ht="13.9" customHeight="1" x14ac:dyDescent="0.3">
      <c r="G468" s="13"/>
      <c r="M468" s="87"/>
      <c r="N468" s="87"/>
      <c r="O468" s="87"/>
      <c r="Q468" s="24"/>
      <c r="R468" s="244"/>
      <c r="S468" s="103" t="s">
        <v>656</v>
      </c>
      <c r="T468" s="234"/>
      <c r="U468" s="235">
        <f t="shared" si="1"/>
        <v>0</v>
      </c>
      <c r="V468" s="284" t="str">
        <f t="shared" ca="1" si="2"/>
        <v>--</v>
      </c>
      <c r="W468" s="234"/>
      <c r="X468" s="234"/>
      <c r="Y468" s="234"/>
      <c r="Z468" s="234"/>
      <c r="AA468" s="234"/>
      <c r="AB468" s="234"/>
      <c r="AC468" s="234"/>
      <c r="AD468" s="234"/>
      <c r="AN468" s="23"/>
      <c r="AO468" s="23"/>
      <c r="BF468" s="5"/>
      <c r="BG468" s="5"/>
    </row>
    <row r="469" spans="7:59" ht="13.9" customHeight="1" x14ac:dyDescent="0.3">
      <c r="G469" s="13"/>
      <c r="M469" s="87"/>
      <c r="N469" s="87"/>
      <c r="O469" s="87"/>
      <c r="Q469" s="24"/>
      <c r="R469" s="244"/>
      <c r="S469" s="103" t="s">
        <v>657</v>
      </c>
      <c r="T469" s="234"/>
      <c r="U469" s="235">
        <f t="shared" si="1"/>
        <v>0</v>
      </c>
      <c r="V469" s="284" t="str">
        <f t="shared" ca="1" si="2"/>
        <v>--</v>
      </c>
      <c r="W469" s="234"/>
      <c r="X469" s="234"/>
      <c r="Y469" s="234"/>
      <c r="Z469" s="234"/>
      <c r="AA469" s="234"/>
      <c r="AB469" s="234"/>
      <c r="AC469" s="234"/>
      <c r="AD469" s="234"/>
      <c r="AN469" s="23"/>
      <c r="AO469" s="23"/>
      <c r="BF469" s="5"/>
      <c r="BG469" s="5"/>
    </row>
    <row r="470" spans="7:59" ht="13.9" customHeight="1" x14ac:dyDescent="0.3">
      <c r="G470" s="13"/>
      <c r="M470" s="87"/>
      <c r="N470" s="87"/>
      <c r="O470" s="87"/>
      <c r="Q470" s="24"/>
      <c r="R470" s="244"/>
      <c r="S470" s="103" t="s">
        <v>663</v>
      </c>
      <c r="T470" s="234"/>
      <c r="U470" s="235">
        <f t="shared" si="1"/>
        <v>0</v>
      </c>
      <c r="V470" s="284" t="str">
        <f t="shared" ca="1" si="2"/>
        <v>--</v>
      </c>
      <c r="W470" s="234"/>
      <c r="X470" s="234"/>
      <c r="Y470" s="234"/>
      <c r="Z470" s="234"/>
      <c r="AA470" s="234"/>
      <c r="AB470" s="234"/>
      <c r="AC470" s="234"/>
      <c r="AD470" s="234"/>
      <c r="AN470" s="23"/>
      <c r="AO470" s="23"/>
      <c r="BF470" s="5"/>
      <c r="BG470" s="5"/>
    </row>
    <row r="471" spans="7:59" ht="13.9" customHeight="1" x14ac:dyDescent="0.3">
      <c r="G471" s="13"/>
      <c r="M471" s="87"/>
      <c r="N471" s="87"/>
      <c r="O471" s="87"/>
      <c r="Q471" s="24"/>
      <c r="R471" s="244"/>
      <c r="S471" s="103" t="s">
        <v>667</v>
      </c>
      <c r="T471" s="234"/>
      <c r="U471" s="235">
        <f ca="1">SUM(U465:U470)</f>
        <v>0</v>
      </c>
      <c r="V471" s="284" t="str">
        <f t="shared" ca="1" si="2"/>
        <v>--</v>
      </c>
      <c r="W471" s="234"/>
      <c r="X471" s="234"/>
      <c r="Y471" s="234"/>
      <c r="Z471" s="234"/>
      <c r="AA471" s="234"/>
      <c r="AB471" s="234"/>
      <c r="AC471" s="234"/>
      <c r="AD471" s="234"/>
      <c r="AN471" s="23"/>
      <c r="AO471" s="23"/>
      <c r="BF471" s="5"/>
      <c r="BG471" s="5"/>
    </row>
  </sheetData>
  <mergeCells count="65">
    <mergeCell ref="C261:G261"/>
    <mergeCell ref="C303:D303"/>
    <mergeCell ref="C216:D216"/>
    <mergeCell ref="B142:H142"/>
    <mergeCell ref="B143:H143"/>
    <mergeCell ref="C152:D152"/>
    <mergeCell ref="C155:D155"/>
    <mergeCell ref="C156:G156"/>
    <mergeCell ref="C225:G225"/>
    <mergeCell ref="C229:G229"/>
    <mergeCell ref="C241:G241"/>
    <mergeCell ref="C233:G233"/>
    <mergeCell ref="C246:G246"/>
    <mergeCell ref="C251:G251"/>
    <mergeCell ref="C256:G256"/>
    <mergeCell ref="C180:G180"/>
    <mergeCell ref="C101:G101"/>
    <mergeCell ref="C106:G106"/>
    <mergeCell ref="C111:G111"/>
    <mergeCell ref="C116:G116"/>
    <mergeCell ref="C120:D120"/>
    <mergeCell ref="C61:G61"/>
    <mergeCell ref="C66:G66"/>
    <mergeCell ref="C71:G71"/>
    <mergeCell ref="C76:G76"/>
    <mergeCell ref="C80:D80"/>
    <mergeCell ref="C131:D131"/>
    <mergeCell ref="C134:D134"/>
    <mergeCell ref="C137:D137"/>
    <mergeCell ref="C200:G200"/>
    <mergeCell ref="C204:G204"/>
    <mergeCell ref="C179:D179"/>
    <mergeCell ref="C147:D147"/>
    <mergeCell ref="C148:G148"/>
    <mergeCell ref="C150:D150"/>
    <mergeCell ref="C151:D151"/>
    <mergeCell ref="C189:G189"/>
    <mergeCell ref="C175:D175"/>
    <mergeCell ref="C193:G193"/>
    <mergeCell ref="C172:G172"/>
    <mergeCell ref="C174:D174"/>
    <mergeCell ref="C176:D176"/>
    <mergeCell ref="C168:D168"/>
    <mergeCell ref="C164:G164"/>
    <mergeCell ref="C166:D166"/>
    <mergeCell ref="C167:D167"/>
    <mergeCell ref="C158:D158"/>
    <mergeCell ref="C159:D159"/>
    <mergeCell ref="C160:D160"/>
    <mergeCell ref="C182:D182"/>
    <mergeCell ref="C183:D183"/>
    <mergeCell ref="C184:D184"/>
    <mergeCell ref="C11:G11"/>
    <mergeCell ref="C56:G56"/>
    <mergeCell ref="C16:G16"/>
    <mergeCell ref="C21:G21"/>
    <mergeCell ref="C26:D26"/>
    <mergeCell ref="C44:G44"/>
    <mergeCell ref="C48:G48"/>
    <mergeCell ref="C40:G40"/>
    <mergeCell ref="C125:D125"/>
    <mergeCell ref="C128:D128"/>
    <mergeCell ref="C96:G96"/>
    <mergeCell ref="C171:D171"/>
    <mergeCell ref="C163:D163"/>
  </mergeCells>
  <conditionalFormatting sqref="G55">
    <cfRule type="expression" dxfId="26" priority="30">
      <formula>(D55="t")</formula>
    </cfRule>
  </conditionalFormatting>
  <conditionalFormatting sqref="G60">
    <cfRule type="expression" dxfId="25" priority="29">
      <formula>(D60="t")</formula>
    </cfRule>
  </conditionalFormatting>
  <conditionalFormatting sqref="G65">
    <cfRule type="expression" dxfId="24" priority="28">
      <formula>(D65="t")</formula>
    </cfRule>
  </conditionalFormatting>
  <conditionalFormatting sqref="G70">
    <cfRule type="expression" dxfId="23" priority="27">
      <formula>(D70="t")</formula>
    </cfRule>
  </conditionalFormatting>
  <conditionalFormatting sqref="G75">
    <cfRule type="expression" dxfId="22" priority="26">
      <formula>(D75="t")</formula>
    </cfRule>
  </conditionalFormatting>
  <conditionalFormatting sqref="G240">
    <cfRule type="expression" dxfId="21" priority="19">
      <formula>(D240="t")</formula>
    </cfRule>
  </conditionalFormatting>
  <conditionalFormatting sqref="G245">
    <cfRule type="expression" dxfId="20" priority="17">
      <formula>(D245="t")</formula>
    </cfRule>
  </conditionalFormatting>
  <conditionalFormatting sqref="G250">
    <cfRule type="expression" dxfId="19" priority="16">
      <formula>(D250="t")</formula>
    </cfRule>
  </conditionalFormatting>
  <conditionalFormatting sqref="G255">
    <cfRule type="expression" dxfId="18" priority="15">
      <formula>(D255="t")</formula>
    </cfRule>
  </conditionalFormatting>
  <conditionalFormatting sqref="G260">
    <cfRule type="expression" dxfId="17" priority="18">
      <formula>(D260="t")</formula>
    </cfRule>
  </conditionalFormatting>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&amp;L&amp;"-,Lihavoitu"&amp;12PIIP-laskentatyökalu&amp;RFytoremediaatio
Sivu &amp;P/&amp;N</oddHeader>
    <oddFooter>&amp;L&amp;G&amp;R&amp;G</oddFooter>
  </headerFooter>
  <ignoredErrors>
    <ignoredError sqref="K277 R277 K280 R280 K283 R283 K286 R286" 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31" id="{CE29D432-3789-4EAD-B5EB-0D08AFC9D0FA}">
            <xm:f>$C$48=Pudotusvalikot!$D$68</xm:f>
            <x14:dxf>
              <fill>
                <patternFill>
                  <bgColor theme="2" tint="0.59996337778862885"/>
                </patternFill>
              </fill>
            </x14:dxf>
          </x14:cfRule>
          <xm:sqref>L40:L41 L44:L45 L48:L49</xm:sqref>
        </x14:conditionalFormatting>
        <x14:conditionalFormatting xmlns:xm="http://schemas.microsoft.com/office/excel/2006/main">
          <x14:cfRule type="expression" priority="25" id="{857BAE32-6D1B-41E6-A23F-508610ABAA9F}">
            <xm:f>#REF!=Pudotusvalikot!$D$68</xm:f>
            <x14:dxf>
              <fill>
                <patternFill>
                  <bgColor theme="2" tint="0.59996337778862885"/>
                </patternFill>
              </fill>
            </x14:dxf>
          </x14:cfRule>
          <xm:sqref>L189 L229 L233</xm:sqref>
        </x14:conditionalFormatting>
        <x14:conditionalFormatting xmlns:xm="http://schemas.microsoft.com/office/excel/2006/main">
          <x14:cfRule type="expression" priority="24" id="{8D175E4F-7677-4F20-B35E-AE9873839A9D}">
            <xm:f>#REF!=Pudotusvalikot!$D$68</xm:f>
            <x14:dxf>
              <fill>
                <patternFill>
                  <bgColor theme="2" tint="0.59996337778862885"/>
                </patternFill>
              </fill>
            </x14:dxf>
          </x14:cfRule>
          <xm:sqref>L193</xm:sqref>
        </x14:conditionalFormatting>
        <x14:conditionalFormatting xmlns:xm="http://schemas.microsoft.com/office/excel/2006/main">
          <x14:cfRule type="expression" priority="23" id="{7035880C-E3A3-4BFD-93C4-197C4CDD3D02}">
            <xm:f>#REF!=Pudotusvalikot!$D$68</xm:f>
            <x14:dxf>
              <fill>
                <patternFill>
                  <bgColor theme="2" tint="0.59996337778862885"/>
                </patternFill>
              </fill>
            </x14:dxf>
          </x14:cfRule>
          <xm:sqref>L200</xm:sqref>
        </x14:conditionalFormatting>
        <x14:conditionalFormatting xmlns:xm="http://schemas.microsoft.com/office/excel/2006/main">
          <x14:cfRule type="expression" priority="22" id="{E4B7C6FB-D70D-45A9-93FB-E1DF8F713D61}">
            <xm:f>#REF!=Pudotusvalikot!$D$68</xm:f>
            <x14:dxf>
              <fill>
                <patternFill>
                  <bgColor theme="2" tint="0.59996337778862885"/>
                </patternFill>
              </fill>
            </x14:dxf>
          </x14:cfRule>
          <xm:sqref>L204</xm:sqref>
        </x14:conditionalFormatting>
        <x14:conditionalFormatting xmlns:xm="http://schemas.microsoft.com/office/excel/2006/main">
          <x14:cfRule type="expression" priority="3" id="{795C0515-13A3-42D8-8E5A-4DC67A281EC9}">
            <xm:f>$C$47=Pudotusvalikot!$D$68</xm:f>
            <x14:dxf>
              <fill>
                <patternFill>
                  <bgColor theme="2" tint="0.59996337778862885"/>
                </patternFill>
              </fill>
            </x14:dxf>
          </x14:cfRule>
          <xm:sqref>L209</xm:sqref>
        </x14:conditionalFormatting>
        <x14:conditionalFormatting xmlns:xm="http://schemas.microsoft.com/office/excel/2006/main">
          <x14:cfRule type="expression" priority="1" id="{EB7F1E5F-6FC0-41F0-8BCA-DC59E82F084B}">
            <xm:f>$C$55=Pudotusvalikot!$D$68</xm:f>
            <x14:dxf>
              <fill>
                <patternFill>
                  <bgColor theme="2" tint="0.59996337778862885"/>
                </patternFill>
              </fill>
            </x14:dxf>
          </x14:cfRule>
          <xm:sqref>L212 L294:L295 L303</xm:sqref>
        </x14:conditionalFormatting>
        <x14:conditionalFormatting xmlns:xm="http://schemas.microsoft.com/office/excel/2006/main">
          <x14:cfRule type="expression" priority="2" id="{9EE86DEA-C6B5-4F5F-A670-37B0379897E8}">
            <xm:f>$C$55=Pudotusvalikot!$D$68</xm:f>
            <x14:dxf>
              <fill>
                <patternFill>
                  <bgColor theme="2" tint="0.59996337778862885"/>
                </patternFill>
              </fill>
            </x14:dxf>
          </x14:cfRule>
          <xm:sqref>L214</xm:sqref>
        </x14:conditionalFormatting>
        <x14:conditionalFormatting xmlns:xm="http://schemas.microsoft.com/office/excel/2006/main">
          <x14:cfRule type="expression" priority="14" id="{F0FB349D-3BD3-429F-B70E-DB552C4253D4}">
            <xm:f>$C$55=Pudotusvalikot!$D$68</xm:f>
            <x14:dxf>
              <fill>
                <patternFill>
                  <bgColor theme="2" tint="0.59996337778862885"/>
                </patternFill>
              </fill>
            </x14:dxf>
          </x14:cfRule>
          <xm:sqref>L216</xm:sqref>
        </x14:conditionalFormatting>
        <x14:conditionalFormatting xmlns:xm="http://schemas.microsoft.com/office/excel/2006/main">
          <x14:cfRule type="expression" priority="21" id="{3BE9CABE-3835-4C31-A9F2-1D818F572879}">
            <xm:f>$C$47=Pudotusvalikot!$D$68</xm:f>
            <x14:dxf>
              <fill>
                <patternFill>
                  <bgColor theme="2" tint="0.59996337778862885"/>
                </patternFill>
              </fill>
            </x14:dxf>
          </x14:cfRule>
          <xm:sqref>L217</xm:sqref>
        </x14:conditionalFormatting>
        <x14:conditionalFormatting xmlns:xm="http://schemas.microsoft.com/office/excel/2006/main">
          <x14:cfRule type="expression" priority="20" id="{2782027D-FB31-4EC9-98AA-4EB3208775A2}">
            <xm:f>#REF!=Pudotusvalikot!$D$68</xm:f>
            <x14:dxf>
              <fill>
                <patternFill>
                  <bgColor theme="2" tint="0.59996337778862885"/>
                </patternFill>
              </fill>
            </x14:dxf>
          </x14:cfRule>
          <xm:sqref>L225</xm:sqref>
        </x14:conditionalFormatting>
        <x14:conditionalFormatting xmlns:xm="http://schemas.microsoft.com/office/excel/2006/main">
          <x14:cfRule type="expression" priority="13" id="{9B47D53B-599D-409F-9243-98B3B56F34A7}">
            <xm:f>$C$55=Pudotusvalikot!$D$68</xm:f>
            <x14:dxf>
              <fill>
                <patternFill>
                  <bgColor theme="2" tint="0.59996337778862885"/>
                </patternFill>
              </fill>
            </x14:dxf>
          </x14:cfRule>
          <xm:sqref>L271</xm:sqref>
        </x14:conditionalFormatting>
        <x14:conditionalFormatting xmlns:xm="http://schemas.microsoft.com/office/excel/2006/main">
          <x14:cfRule type="expression" priority="7" id="{4246B6E8-99D6-4A65-A76F-F59E84FC8CEF}">
            <xm:f>$C$55=Pudotusvalikot!$D$68</xm:f>
            <x14:dxf>
              <fill>
                <patternFill>
                  <bgColor theme="2" tint="0.59996337778862885"/>
                </patternFill>
              </fill>
            </x14:dxf>
          </x14:cfRule>
          <xm:sqref>L274:L288</xm:sqref>
        </x14:conditionalFormatting>
        <x14:conditionalFormatting xmlns:xm="http://schemas.microsoft.com/office/excel/2006/main">
          <x14:cfRule type="expression" priority="12" id="{CEB26693-2C74-4CAA-BBE8-B1DE5D876319}">
            <xm:f>$C$55=Pudotusvalikot!$D$68</xm:f>
            <x14:dxf>
              <fill>
                <patternFill>
                  <bgColor theme="2" tint="0.59996337778862885"/>
                </patternFill>
              </fill>
            </x14:dxf>
          </x14:cfRule>
          <xm:sqref>L292</xm:sqref>
        </x14:conditionalFormatting>
        <x14:conditionalFormatting xmlns:xm="http://schemas.microsoft.com/office/excel/2006/main">
          <x14:cfRule type="expression" priority="6" id="{2EECF2BD-CB39-4441-9DDA-A9A1B2513CB3}">
            <xm:f>$C$55=Pudotusvalikot!$D$68</xm:f>
            <x14:dxf>
              <fill>
                <patternFill>
                  <bgColor theme="2" tint="0.59996337778862885"/>
                </patternFill>
              </fill>
            </x14:dxf>
          </x14:cfRule>
          <xm:sqref>L301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843A7ABD-113A-4C6D-BB82-735CE09895A4}">
          <x14:formula1>
            <xm:f>Pudotusvalikot!$D$14:$D$65</xm:f>
          </x14:formula1>
          <xm:sqref>C156 C241 C246 C251 C256 C261 C101 C106 C111 C11 C21 C61 C66 C71 C76 C56 C16 C180 C148 C172 C164 C96 C116</xm:sqref>
        </x14:dataValidation>
        <x14:dataValidation type="list" errorStyle="warning" allowBlank="1" showInputMessage="1" showErrorMessage="1" xr:uid="{E2C15DD6-2DB1-4741-92A8-31DC55AC1F3D}">
          <x14:formula1>
            <xm:f>Pudotusvalikot!$B$3:$B$5</xm:f>
          </x14:formula1>
          <xm:sqref>C26 C120 C80 C264:C266</xm:sqref>
        </x14:dataValidation>
        <x14:dataValidation type="list" allowBlank="1" showInputMessage="1" showErrorMessage="1" xr:uid="{4B57F3CB-65CB-46AE-9A5B-DD8C174CFD41}">
          <x14:formula1>
            <xm:f>Pudotusvalikot!$D$67:$D$92</xm:f>
          </x14:formula1>
          <xm:sqref>C189 C233 C225 C229 C200 C193 C204</xm:sqref>
        </x14:dataValidation>
        <x14:dataValidation type="list" allowBlank="1" showInputMessage="1" showErrorMessage="1" xr:uid="{A995F9B8-15DF-4711-914C-E7D68524AE49}">
          <x14:formula1>
            <xm:f>Pudotusvalikot!$D$67:$D$106</xm:f>
          </x14:formula1>
          <xm:sqref>C40 C48 C44</xm:sqref>
        </x14:dataValidation>
        <x14:dataValidation type="list" allowBlank="1" showInputMessage="1" showErrorMessage="1" xr:uid="{E7AC4E5C-A602-4DE8-9DA8-7CFB042E0788}">
          <x14:formula1>
            <xm:f>Pudotusvalikot!$J$3:$J$9</xm:f>
          </x14:formula1>
          <xm:sqref>C217</xm:sqref>
        </x14:dataValidation>
        <x14:dataValidation type="list" allowBlank="1" showInputMessage="1" showErrorMessage="1" xr:uid="{A71A7659-7BEA-46FE-B9B9-5F004879291E}">
          <x14:formula1>
            <xm:f>Pudotusvalikot!$N$3:$N$7</xm:f>
          </x14:formula1>
          <xm:sqref>C150:C152 C158:C160 C174:C176 C166:C168 C182:C184</xm:sqref>
        </x14:dataValidation>
        <x14:dataValidation type="list" allowBlank="1" showInputMessage="1" showErrorMessage="1" xr:uid="{BD1FFF28-87EE-4750-965D-8900E62030B7}">
          <x14:formula1>
            <xm:f>Pudotusvalikot!$L$14:$L$28</xm:f>
          </x14:formula1>
          <xm:sqref>C125:D125 C137:D137 C134:D134 C131:D131 C128:D128</xm:sqref>
        </x14:dataValidation>
        <x14:dataValidation type="list" allowBlank="1" showInputMessage="1" showErrorMessage="1" xr:uid="{8682A177-440F-4C9B-B1A3-7E2C7168C0B5}">
          <x14:formula1>
            <xm:f>Pudotusvalikot!$F$3:$F$7</xm:f>
          </x14:formula1>
          <xm:sqref>F90 D60 D70 D75 D255 D245 D90 D84:D88 D260 D65 D55 D250 D240</xm:sqref>
        </x14:dataValidation>
        <x14:dataValidation type="list" allowBlank="1" showInputMessage="1" showErrorMessage="1" xr:uid="{B3D3F961-8208-4840-AA80-D5B6D1A5EEA6}">
          <x14:formula1>
            <xm:f>Pudotusvalikot!$V$3:$V$9</xm:f>
          </x14:formula1>
          <xm:sqref>C12 C17 C22 C31 C33 C35 C41 C45 C49 C57 C62 C67 C72 C77 C97 C102 C107 C112 C117 C149 C157 C165 C173 C181 C190 C194 C201 C205 C226 C230 C234 C242 C247 C252 C257 C262 C293 C272</xm:sqref>
        </x14:dataValidation>
        <x14:dataValidation type="list" allowBlank="1" showInputMessage="1" showErrorMessage="1" xr:uid="{8A2F37A0-CA39-4446-AC8B-1F3A5A088C58}">
          <x14:formula1>
            <xm:f>Pudotusvalikot!$J$3:$J$11</xm:f>
          </x14:formula1>
          <xm:sqref>C303 C216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A1007-37B9-4294-9C69-AC0CC49A7687}">
  <sheetPr codeName="Sheet9">
    <tabColor theme="5" tint="0.79998168889431442"/>
  </sheetPr>
  <dimension ref="B1:BG472"/>
  <sheetViews>
    <sheetView zoomScaleNormal="100" zoomScaleSheetLayoutView="100" workbookViewId="0">
      <pane xSplit="2" ySplit="2" topLeftCell="C3" activePane="bottomRight" state="frozen"/>
      <selection pane="topRight" activeCell="C1" sqref="C1"/>
      <selection pane="bottomLeft" activeCell="A3" sqref="A3"/>
      <selection pane="bottomRight" activeCell="C4" sqref="C4"/>
    </sheetView>
  </sheetViews>
  <sheetFormatPr defaultColWidth="9" defaultRowHeight="13.9" customHeight="1" x14ac:dyDescent="0.3"/>
  <cols>
    <col min="1" max="1" width="2.75" style="5" customWidth="1"/>
    <col min="2" max="2" width="95.33203125" style="5" customWidth="1"/>
    <col min="3" max="3" width="16.58203125" style="13" customWidth="1"/>
    <col min="4" max="4" width="16.08203125" style="87" customWidth="1"/>
    <col min="5" max="5" width="2.25" style="5" customWidth="1"/>
    <col min="6" max="6" width="3.75" style="5" customWidth="1"/>
    <col min="7" max="7" width="16.33203125" style="13" customWidth="1"/>
    <col min="8" max="8" width="8" style="87" customWidth="1"/>
    <col min="9" max="9" width="3.75" style="5" customWidth="1"/>
    <col min="10" max="10" width="60.75" style="15" customWidth="1"/>
    <col min="11" max="12" width="15.75" style="13" customWidth="1"/>
    <col min="13" max="13" width="11" style="87" bestFit="1" customWidth="1"/>
    <col min="14" max="14" width="2.58203125" style="87" customWidth="1"/>
    <col min="15" max="15" width="80.58203125" style="87" customWidth="1"/>
    <col min="16" max="16" width="2.75" style="5" customWidth="1"/>
    <col min="17" max="17" width="2.75" style="35" customWidth="1"/>
    <col min="18" max="18" width="15.75" style="99" customWidth="1"/>
    <col min="19" max="19" width="15.75" style="36" customWidth="1"/>
    <col min="20" max="20" width="26.83203125" style="36" bestFit="1" customWidth="1"/>
    <col min="21" max="37" width="25.75" style="22" customWidth="1"/>
    <col min="38" max="39" width="15.75" style="22" customWidth="1"/>
    <col min="40" max="41" width="9" style="22"/>
    <col min="42" max="59" width="9" style="23"/>
    <col min="60" max="16384" width="9" style="5"/>
  </cols>
  <sheetData>
    <row r="1" spans="2:59" s="31" customFormat="1" ht="15.5" x14ac:dyDescent="0.3">
      <c r="C1" s="34"/>
      <c r="D1" s="84"/>
      <c r="G1" s="34"/>
      <c r="H1" s="84"/>
      <c r="J1" s="33"/>
      <c r="K1" s="34"/>
      <c r="L1" s="34"/>
      <c r="M1" s="84"/>
      <c r="N1" s="84"/>
      <c r="O1" s="84"/>
      <c r="Q1" s="35"/>
      <c r="R1" s="99"/>
      <c r="S1" s="36"/>
      <c r="T1" s="36"/>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7"/>
      <c r="AX1" s="37"/>
      <c r="AY1" s="37"/>
      <c r="AZ1" s="37"/>
      <c r="BA1" s="37"/>
      <c r="BB1" s="37"/>
      <c r="BC1" s="37"/>
      <c r="BD1" s="37"/>
      <c r="BE1" s="37"/>
      <c r="BF1" s="37"/>
      <c r="BG1" s="37"/>
    </row>
    <row r="2" spans="2:59" s="25" customFormat="1" ht="30" x14ac:dyDescent="0.3">
      <c r="B2" s="8" t="s">
        <v>53</v>
      </c>
      <c r="C2" s="375"/>
      <c r="D2" s="376"/>
      <c r="E2" s="377"/>
      <c r="F2" s="378" t="s">
        <v>643</v>
      </c>
      <c r="G2" s="379" t="str">
        <f>IF(OR(ISNUMBER(C4),ISNUMBER(C5)),U472,"")</f>
        <v/>
      </c>
      <c r="H2" s="380" t="s">
        <v>172</v>
      </c>
      <c r="J2" s="26"/>
      <c r="K2" s="27"/>
      <c r="L2" s="27"/>
      <c r="M2" s="85"/>
      <c r="N2" s="85"/>
      <c r="O2" s="85"/>
      <c r="Q2" s="35"/>
      <c r="R2" s="99"/>
      <c r="S2" s="36"/>
      <c r="T2" s="36"/>
      <c r="U2" s="36"/>
      <c r="V2" s="29"/>
      <c r="W2" s="29"/>
      <c r="X2" s="29"/>
      <c r="Y2" s="29"/>
      <c r="Z2" s="29"/>
      <c r="AA2" s="29"/>
      <c r="AB2" s="29"/>
      <c r="AC2" s="29"/>
      <c r="AD2" s="29"/>
      <c r="AE2" s="29"/>
      <c r="AF2" s="29"/>
      <c r="AG2" s="29"/>
      <c r="AH2" s="29"/>
      <c r="AI2" s="29"/>
      <c r="AJ2" s="29"/>
      <c r="AK2" s="29"/>
      <c r="AL2" s="29"/>
      <c r="AM2" s="29"/>
      <c r="AN2" s="29"/>
      <c r="AO2" s="29"/>
      <c r="AP2" s="30"/>
      <c r="AQ2" s="30"/>
      <c r="AR2" s="30"/>
      <c r="AS2" s="30"/>
      <c r="AT2" s="30"/>
      <c r="AU2" s="30"/>
      <c r="AV2" s="30"/>
      <c r="AW2" s="30"/>
      <c r="AX2" s="30"/>
      <c r="AY2" s="30"/>
      <c r="AZ2" s="30"/>
      <c r="BA2" s="30"/>
      <c r="BB2" s="30"/>
      <c r="BC2" s="30"/>
      <c r="BD2" s="30"/>
      <c r="BE2" s="30"/>
      <c r="BF2" s="30"/>
      <c r="BG2" s="30"/>
    </row>
    <row r="3" spans="2:59" s="31" customFormat="1" ht="15.5" x14ac:dyDescent="0.3">
      <c r="C3" s="34"/>
      <c r="D3" s="84"/>
      <c r="G3" s="34"/>
      <c r="H3" s="84"/>
      <c r="J3" s="33"/>
      <c r="K3" s="34"/>
      <c r="L3" s="34"/>
      <c r="M3" s="84"/>
      <c r="N3" s="84"/>
      <c r="O3" s="84"/>
      <c r="Q3" s="35"/>
      <c r="R3" s="99"/>
      <c r="S3" s="36"/>
      <c r="T3" s="36"/>
      <c r="U3" s="36"/>
      <c r="V3" s="36"/>
      <c r="W3" s="36"/>
      <c r="X3" s="36"/>
      <c r="Y3" s="36"/>
      <c r="Z3" s="36"/>
      <c r="AA3" s="36"/>
      <c r="AB3" s="36"/>
      <c r="AC3" s="36"/>
      <c r="AD3" s="36"/>
      <c r="AE3" s="36"/>
      <c r="AF3" s="36"/>
      <c r="AG3" s="36"/>
      <c r="AH3" s="36"/>
      <c r="AI3" s="36"/>
      <c r="AJ3" s="36"/>
      <c r="AK3" s="36"/>
      <c r="AL3" s="36"/>
      <c r="AM3" s="36"/>
      <c r="AN3" s="36"/>
      <c r="AO3" s="36"/>
      <c r="AP3" s="37"/>
      <c r="AQ3" s="37"/>
      <c r="AR3" s="37"/>
      <c r="AS3" s="37"/>
      <c r="AT3" s="37"/>
      <c r="AU3" s="37"/>
      <c r="AV3" s="37"/>
      <c r="AW3" s="37"/>
      <c r="AX3" s="37"/>
      <c r="AY3" s="37"/>
      <c r="AZ3" s="37"/>
      <c r="BA3" s="37"/>
      <c r="BB3" s="37"/>
      <c r="BC3" s="37"/>
      <c r="BD3" s="37"/>
      <c r="BE3" s="37"/>
      <c r="BF3" s="37"/>
      <c r="BG3" s="37"/>
    </row>
    <row r="4" spans="2:59" s="31" customFormat="1" ht="25" customHeight="1" x14ac:dyDescent="0.3">
      <c r="B4" s="81" t="s">
        <v>751</v>
      </c>
      <c r="C4" s="154"/>
      <c r="D4" s="84" t="str">
        <f>IF(ISBLANK(C4),"%","")</f>
        <v>%</v>
      </c>
      <c r="G4" s="175" t="str">
        <f>IF(ISNUMBER(C4),C4*'Kohdetiedot ja yhteenveto'!D12,"")</f>
        <v/>
      </c>
      <c r="H4" s="84" t="s">
        <v>175</v>
      </c>
      <c r="J4" s="33"/>
      <c r="K4" s="34"/>
      <c r="L4" s="34"/>
      <c r="M4" s="84"/>
      <c r="N4" s="84"/>
      <c r="O4" s="84"/>
      <c r="Q4" s="35"/>
      <c r="R4" s="99"/>
      <c r="S4" s="36"/>
      <c r="T4" s="36"/>
      <c r="U4" s="36"/>
      <c r="V4" s="36"/>
      <c r="W4" s="36"/>
      <c r="X4" s="36"/>
      <c r="Y4" s="36"/>
      <c r="Z4" s="36"/>
      <c r="AA4" s="36"/>
      <c r="AB4" s="36"/>
      <c r="AC4" s="36"/>
      <c r="AD4" s="36"/>
      <c r="AE4" s="36"/>
      <c r="AF4" s="36"/>
      <c r="AG4" s="36"/>
      <c r="AH4" s="36"/>
      <c r="AI4" s="36"/>
      <c r="AJ4" s="36"/>
      <c r="AK4" s="36"/>
      <c r="AL4" s="36"/>
      <c r="AM4" s="36"/>
      <c r="AN4" s="36"/>
      <c r="AO4" s="36"/>
      <c r="AP4" s="37"/>
      <c r="AQ4" s="37"/>
      <c r="AR4" s="37"/>
      <c r="AS4" s="37"/>
      <c r="AT4" s="37"/>
      <c r="AU4" s="37"/>
      <c r="AV4" s="37"/>
      <c r="AW4" s="37"/>
      <c r="AX4" s="37"/>
      <c r="AY4" s="37"/>
      <c r="AZ4" s="37"/>
      <c r="BA4" s="37"/>
      <c r="BB4" s="37"/>
      <c r="BC4" s="37"/>
      <c r="BD4" s="37"/>
      <c r="BE4" s="37"/>
      <c r="BF4" s="37"/>
      <c r="BG4" s="37"/>
    </row>
    <row r="5" spans="2:59" s="31" customFormat="1" ht="25" customHeight="1" x14ac:dyDescent="0.3">
      <c r="B5" s="81" t="s">
        <v>748</v>
      </c>
      <c r="C5" s="154"/>
      <c r="D5" s="84" t="str">
        <f>IF(ISBLANK(C5),"%","")</f>
        <v>%</v>
      </c>
      <c r="G5" s="175" t="str">
        <f>IF(ISNUMBER(C5),C5*'Kohdetiedot ja yhteenveto'!D13,"")</f>
        <v/>
      </c>
      <c r="H5" s="84" t="s">
        <v>210</v>
      </c>
      <c r="J5" s="33"/>
      <c r="K5" s="34"/>
      <c r="L5" s="34"/>
      <c r="M5" s="84"/>
      <c r="N5" s="84"/>
      <c r="O5" s="84"/>
      <c r="Q5" s="35"/>
      <c r="R5" s="99"/>
      <c r="S5" s="36"/>
      <c r="T5" s="36"/>
      <c r="U5" s="36"/>
      <c r="V5" s="36"/>
      <c r="W5" s="36"/>
      <c r="X5" s="36"/>
      <c r="Y5" s="36"/>
      <c r="Z5" s="36"/>
      <c r="AA5" s="36"/>
      <c r="AB5" s="36"/>
      <c r="AC5" s="36"/>
      <c r="AD5" s="36"/>
      <c r="AE5" s="36"/>
      <c r="AF5" s="36"/>
      <c r="AG5" s="36"/>
      <c r="AH5" s="36"/>
      <c r="AI5" s="36"/>
      <c r="AJ5" s="36"/>
      <c r="AK5" s="36"/>
      <c r="AL5" s="36"/>
      <c r="AM5" s="36"/>
      <c r="AN5" s="36"/>
      <c r="AO5" s="36"/>
      <c r="AP5" s="37"/>
      <c r="AQ5" s="37"/>
      <c r="AR5" s="37"/>
      <c r="AS5" s="37"/>
      <c r="AT5" s="37"/>
      <c r="AU5" s="37"/>
      <c r="AV5" s="37"/>
      <c r="AW5" s="37"/>
      <c r="AX5" s="37"/>
      <c r="AY5" s="37"/>
      <c r="AZ5" s="37"/>
      <c r="BA5" s="37"/>
      <c r="BB5" s="37"/>
      <c r="BC5" s="37"/>
      <c r="BD5" s="37"/>
      <c r="BE5" s="37"/>
      <c r="BF5" s="37"/>
      <c r="BG5" s="37"/>
    </row>
    <row r="6" spans="2:59" s="31" customFormat="1" ht="15.5" x14ac:dyDescent="0.3">
      <c r="C6" s="34"/>
      <c r="D6" s="84"/>
      <c r="G6" s="34"/>
      <c r="H6" s="84"/>
      <c r="J6" s="33"/>
      <c r="K6" s="34"/>
      <c r="L6" s="34"/>
      <c r="M6" s="84"/>
      <c r="N6" s="84"/>
      <c r="O6" s="84"/>
      <c r="Q6" s="35"/>
      <c r="R6" s="99"/>
      <c r="S6" s="36"/>
      <c r="T6" s="36"/>
      <c r="U6" s="36"/>
      <c r="V6" s="36"/>
      <c r="W6" s="36"/>
      <c r="X6" s="36"/>
      <c r="Y6" s="36"/>
      <c r="Z6" s="36"/>
      <c r="AA6" s="36"/>
      <c r="AB6" s="36"/>
      <c r="AC6" s="36"/>
      <c r="AD6" s="36"/>
      <c r="AE6" s="36"/>
      <c r="AF6" s="36"/>
      <c r="AG6" s="36"/>
      <c r="AH6" s="36"/>
      <c r="AI6" s="36"/>
      <c r="AJ6" s="36"/>
      <c r="AK6" s="36"/>
      <c r="AL6" s="36"/>
      <c r="AM6" s="36"/>
      <c r="AN6" s="36"/>
      <c r="AO6" s="36"/>
      <c r="AP6" s="37"/>
      <c r="AQ6" s="37"/>
      <c r="AR6" s="37"/>
      <c r="AS6" s="37"/>
      <c r="AT6" s="37"/>
      <c r="AU6" s="37"/>
      <c r="AV6" s="37"/>
      <c r="AW6" s="37"/>
      <c r="AX6" s="37"/>
      <c r="AY6" s="37"/>
      <c r="AZ6" s="37"/>
      <c r="BA6" s="37"/>
      <c r="BB6" s="37"/>
      <c r="BC6" s="37"/>
      <c r="BD6" s="37"/>
      <c r="BE6" s="37"/>
      <c r="BF6" s="37"/>
      <c r="BG6" s="37"/>
    </row>
    <row r="7" spans="2:59" s="298" customFormat="1" ht="18" x14ac:dyDescent="0.3">
      <c r="B7" s="295" t="s">
        <v>42</v>
      </c>
      <c r="C7" s="296"/>
      <c r="D7" s="297"/>
      <c r="G7" s="296"/>
      <c r="H7" s="297"/>
      <c r="K7" s="296"/>
      <c r="L7" s="296"/>
      <c r="M7" s="297"/>
      <c r="N7" s="297"/>
      <c r="O7" s="300"/>
      <c r="P7" s="320"/>
      <c r="Q7" s="304"/>
      <c r="R7" s="298" t="str">
        <f>IF(OR(ISNUMBER(#REF!),ISNUMBER(#REF!),ISNUMBER(#REF!)),SUM(#REF!,#REF!,#REF!),"")</f>
        <v/>
      </c>
      <c r="S7" s="303"/>
      <c r="T7" s="303"/>
      <c r="U7" s="303"/>
      <c r="V7" s="303"/>
      <c r="W7" s="303"/>
      <c r="X7" s="303"/>
      <c r="Y7" s="303"/>
      <c r="Z7" s="303"/>
      <c r="AA7" s="303"/>
      <c r="AB7" s="303"/>
      <c r="AC7" s="303"/>
      <c r="AD7" s="303"/>
      <c r="AE7" s="303"/>
      <c r="AF7" s="303"/>
      <c r="AG7" s="303"/>
      <c r="AH7" s="303"/>
      <c r="AI7" s="303"/>
      <c r="AJ7" s="303"/>
      <c r="AK7" s="303"/>
      <c r="AL7" s="303"/>
      <c r="AM7" s="303"/>
      <c r="AN7" s="304"/>
      <c r="AO7" s="304"/>
      <c r="AP7" s="304"/>
      <c r="AQ7" s="304"/>
      <c r="AR7" s="304"/>
      <c r="AS7" s="304"/>
      <c r="AT7" s="304"/>
      <c r="AU7" s="304"/>
      <c r="AV7" s="304"/>
      <c r="AW7" s="304"/>
      <c r="AX7" s="304"/>
      <c r="AY7" s="304"/>
      <c r="AZ7" s="304"/>
      <c r="BA7" s="304"/>
      <c r="BB7" s="304"/>
      <c r="BC7" s="304"/>
      <c r="BD7" s="304"/>
      <c r="BE7" s="304"/>
    </row>
    <row r="8" spans="2:59" s="31" customFormat="1" ht="15.5" x14ac:dyDescent="0.3">
      <c r="B8" s="9"/>
      <c r="C8" s="34"/>
      <c r="D8" s="84"/>
      <c r="G8" s="34" t="s">
        <v>43</v>
      </c>
      <c r="H8" s="84"/>
      <c r="K8" s="38" t="s">
        <v>329</v>
      </c>
      <c r="L8" s="38" t="s">
        <v>201</v>
      </c>
      <c r="M8" s="84"/>
      <c r="N8" s="84"/>
      <c r="O8" s="255" t="s">
        <v>644</v>
      </c>
      <c r="Q8" s="35"/>
      <c r="R8" s="44" t="s">
        <v>350</v>
      </c>
      <c r="S8" s="36"/>
      <c r="T8" s="36" t="s">
        <v>267</v>
      </c>
      <c r="U8" s="36" t="s">
        <v>268</v>
      </c>
      <c r="V8" s="36" t="s">
        <v>269</v>
      </c>
      <c r="W8" s="36" t="s">
        <v>272</v>
      </c>
      <c r="X8" s="36" t="s">
        <v>270</v>
      </c>
      <c r="Y8" s="44" t="s">
        <v>271</v>
      </c>
      <c r="Z8" s="36" t="s">
        <v>273</v>
      </c>
      <c r="AA8" s="108"/>
      <c r="AB8" s="36"/>
      <c r="AC8" s="36"/>
      <c r="AD8" s="36"/>
      <c r="AE8" s="36"/>
      <c r="AF8" s="36"/>
      <c r="AG8" s="36"/>
      <c r="AH8" s="36"/>
      <c r="AI8" s="36"/>
      <c r="AJ8" s="36"/>
      <c r="AK8" s="36"/>
      <c r="AL8" s="36"/>
      <c r="AM8" s="36"/>
      <c r="AN8" s="37"/>
      <c r="AO8" s="37"/>
      <c r="AP8" s="37"/>
      <c r="AQ8" s="37"/>
      <c r="AR8" s="37"/>
      <c r="AS8" s="37"/>
      <c r="AT8" s="37"/>
      <c r="AU8" s="37"/>
      <c r="AV8" s="37"/>
      <c r="AW8" s="37"/>
      <c r="AX8" s="37"/>
      <c r="AY8" s="37"/>
      <c r="AZ8" s="37"/>
      <c r="BA8" s="37"/>
      <c r="BB8" s="37"/>
      <c r="BC8" s="37"/>
      <c r="BD8" s="37"/>
      <c r="BE8" s="37"/>
      <c r="BF8" s="108"/>
      <c r="BG8" s="108"/>
    </row>
    <row r="9" spans="2:59" s="31" customFormat="1" ht="15.5" x14ac:dyDescent="0.3">
      <c r="B9" s="54" t="s">
        <v>582</v>
      </c>
      <c r="C9" s="160"/>
      <c r="D9" s="84" t="s">
        <v>234</v>
      </c>
      <c r="G9" s="160"/>
      <c r="H9" s="84" t="s">
        <v>44</v>
      </c>
      <c r="J9" s="33" t="s">
        <v>566</v>
      </c>
      <c r="K9" s="112">
        <f>IF(ISNUMBER(L9),L9,IF(C11=Pudotusvalikot!$J$4,Kalusto!$E$98,IF(C11=Pudotusvalikot!$J$5,Kalusto!$E$99,IF(C11=Pudotusvalikot!$J$6,Kalusto!$E$100,IF(C11=Pudotusvalikot!$J$7,Kalusto!$E$101,IF(C11=Pudotusvalikot!$J$8,Kalusto!$E$102,IF(C11=Pudotusvalikot!$J$9,Kalusto!$E$103,IF(C11=Pudotusvalikot!$J$11,Kalusto!$E$104,Kalusto!$E$98))))))))</f>
        <v>0</v>
      </c>
      <c r="L9" s="63"/>
      <c r="M9" s="77" t="str">
        <f>IF(C11=Pudotusvalikot!$J$9,"kWh/100 km",IF(C11=Pudotusvalikot!$J$6,"kg/100 km","l/100 km"))</f>
        <v>l/100 km</v>
      </c>
      <c r="N9" s="77"/>
      <c r="O9" s="256"/>
      <c r="Q9" s="35"/>
      <c r="R9" s="109">
        <f>SUM(U9:Z9)</f>
        <v>0</v>
      </c>
      <c r="S9" s="102" t="s">
        <v>172</v>
      </c>
      <c r="T9" s="48">
        <f>IF(ISNUMBER(C10*C9*G9),C10*C9*G9,"")</f>
        <v>0</v>
      </c>
      <c r="U9" s="50">
        <f>IF(ISNUMBER(T9),IF(C11=Pudotusvalikot!$J$5,(Muut!$H$15+Muut!$H$18)*(T9*K9/100),0),"")</f>
        <v>0</v>
      </c>
      <c r="V9" s="50">
        <f>IF(ISNUMBER(T9),IF(C11=Pudotusvalikot!$J$4,(Muut!$H$14+Muut!$H$17)*(T9*K9/100),0),"")</f>
        <v>0</v>
      </c>
      <c r="W9" s="50">
        <f>IF(ISNUMBER(T9),IF(C11=Pudotusvalikot!$J$6,(Muut!$H$16+Muut!$H$19)*(T9*K9/100),0),"")</f>
        <v>0</v>
      </c>
      <c r="X9" s="50">
        <f>IF(ISNUMBER(T9),IF(C11=Pudotusvalikot!$J$7,((Muut!$H$15+Muut!$H$18)*(100%-Kalusto!$O$101)+(Muut!$H$14+Muut!$H$17)*Kalusto!$O$101)*(T9*K9/100),0),"")</f>
        <v>0</v>
      </c>
      <c r="Y9" s="74">
        <f>IF(ISNUMBER(T9),IF(C11=Pudotusvalikot!$J$8,((Kalusto!$K$102)*(100%-Kalusto!$O$102)+(Kalusto!$M$102)*Kalusto!$O$102)*(Muut!$H$13+Muut!$H$12)/100*T9/1000+((Kalusto!$G$102)*(100%-Kalusto!$O$102)+(Kalusto!$I$102)*Kalusto!$O$102)*(K9+Muut!$H$18)/100*T9,0),"")</f>
        <v>0</v>
      </c>
      <c r="Z9" s="74">
        <f>IF(ISNUMBER(T9),IF(C11=Pudotusvalikot!$J$9,Kalusto!$E$103*(K9+Muut!$H$12)/100*T9/1000,0),"")</f>
        <v>0</v>
      </c>
      <c r="AA9" s="108"/>
      <c r="AB9" s="36"/>
      <c r="AC9" s="36"/>
      <c r="AD9" s="36"/>
      <c r="AE9" s="36"/>
      <c r="AF9" s="36"/>
      <c r="AG9" s="36"/>
      <c r="AH9" s="36"/>
      <c r="AI9" s="36"/>
      <c r="AJ9" s="36"/>
      <c r="AK9" s="36"/>
      <c r="AL9" s="36"/>
      <c r="AM9" s="36"/>
      <c r="AN9" s="37"/>
      <c r="AO9" s="37"/>
      <c r="AP9" s="37"/>
      <c r="AQ9" s="37"/>
      <c r="AR9" s="37"/>
      <c r="AS9" s="37"/>
      <c r="AT9" s="37"/>
      <c r="AU9" s="37"/>
      <c r="AV9" s="37"/>
      <c r="AW9" s="37"/>
      <c r="AX9" s="37"/>
      <c r="AY9" s="37"/>
      <c r="AZ9" s="37"/>
      <c r="BA9" s="37"/>
      <c r="BB9" s="37"/>
      <c r="BC9" s="37"/>
      <c r="BD9" s="37"/>
      <c r="BE9" s="37"/>
    </row>
    <row r="10" spans="2:59" s="31" customFormat="1" ht="15.5" x14ac:dyDescent="0.3">
      <c r="B10" s="45" t="s">
        <v>581</v>
      </c>
      <c r="C10" s="160"/>
      <c r="D10" s="84" t="s">
        <v>5</v>
      </c>
      <c r="G10" s="34"/>
      <c r="H10" s="84"/>
      <c r="K10" s="134"/>
      <c r="L10" s="38"/>
      <c r="M10" s="84"/>
      <c r="N10" s="84"/>
      <c r="Q10" s="35"/>
      <c r="R10" s="44" t="s">
        <v>350</v>
      </c>
      <c r="S10" s="36"/>
      <c r="T10" s="36" t="s">
        <v>267</v>
      </c>
      <c r="U10" s="36" t="s">
        <v>268</v>
      </c>
      <c r="V10" s="36" t="s">
        <v>269</v>
      </c>
      <c r="W10" s="36" t="s">
        <v>272</v>
      </c>
      <c r="X10" s="36" t="s">
        <v>270</v>
      </c>
      <c r="Y10" s="44" t="s">
        <v>271</v>
      </c>
      <c r="Z10" s="36" t="s">
        <v>273</v>
      </c>
      <c r="AA10" s="108"/>
      <c r="AB10" s="36"/>
      <c r="AC10" s="36"/>
      <c r="AD10" s="36"/>
      <c r="AE10" s="36"/>
      <c r="AF10" s="36"/>
      <c r="AG10" s="36"/>
      <c r="AH10" s="36"/>
      <c r="AI10" s="36"/>
      <c r="AJ10" s="36"/>
      <c r="AK10" s="36"/>
      <c r="AL10" s="36"/>
      <c r="AM10" s="36"/>
      <c r="AN10" s="37"/>
      <c r="AO10" s="37"/>
      <c r="AP10" s="37"/>
      <c r="AQ10" s="37"/>
      <c r="AR10" s="37"/>
      <c r="AS10" s="37"/>
      <c r="AT10" s="37"/>
      <c r="AU10" s="37"/>
      <c r="AV10" s="37"/>
      <c r="AW10" s="37"/>
      <c r="AX10" s="37"/>
      <c r="AY10" s="37"/>
      <c r="AZ10" s="37"/>
      <c r="BA10" s="37"/>
      <c r="BB10" s="37"/>
      <c r="BC10" s="37"/>
      <c r="BD10" s="37"/>
      <c r="BE10" s="37"/>
    </row>
    <row r="11" spans="2:59" s="31" customFormat="1" ht="15.5" x14ac:dyDescent="0.3">
      <c r="B11" s="54" t="s">
        <v>578</v>
      </c>
      <c r="C11" s="160"/>
      <c r="D11" s="84" t="s">
        <v>234</v>
      </c>
      <c r="G11" s="160"/>
      <c r="H11" s="84" t="s">
        <v>44</v>
      </c>
      <c r="J11" s="33" t="s">
        <v>243</v>
      </c>
      <c r="K11" s="112">
        <f>IF(ISNUMBER(L11),L11,IF(C13=Pudotusvalikot!$J$4,Kalusto!$E$98,IF(C13=Pudotusvalikot!$J$5,Kalusto!$E$99,IF(C13=Pudotusvalikot!$J$6,Kalusto!$E$100,IF(C13=Pudotusvalikot!$J$7,Kalusto!$E$101,IF(C13=Pudotusvalikot!$J$8,Kalusto!$E$102,IF(C13=Pudotusvalikot!$J$9,Kalusto!$E$103,IF(C13=Pudotusvalikot!$J$11,Kalusto!$E$104,Kalusto!$E$98))))))))</f>
        <v>5.5</v>
      </c>
      <c r="L11" s="63"/>
      <c r="M11" s="77" t="str">
        <f>IF(C13=Pudotusvalikot!$J$9,"kWh/100 km",IF(C13=Pudotusvalikot!$J$6,"kg/100 km","l/100 km"))</f>
        <v>l/100 km</v>
      </c>
      <c r="N11" s="77"/>
      <c r="O11" s="100"/>
      <c r="Q11" s="35"/>
      <c r="R11" s="109">
        <f>SUM(U11:Z11)</f>
        <v>0</v>
      </c>
      <c r="S11" s="102" t="s">
        <v>172</v>
      </c>
      <c r="T11" s="48">
        <f>IF(ISNUMBER(C12*C11*G11),C12*C11*G11,"")</f>
        <v>0</v>
      </c>
      <c r="U11" s="50">
        <f>IF(ISNUMBER(T11),IF(C13=Pudotusvalikot!$J$5,(Muut!$H$15+Muut!$H$18)*(T11*K11/100),0),"")</f>
        <v>0</v>
      </c>
      <c r="V11" s="50">
        <f>IF(ISNUMBER(T11),IF(C13=Pudotusvalikot!$J$4,(Muut!$H$14+Muut!$H$17)*(T11*K11/100),0),"")</f>
        <v>0</v>
      </c>
      <c r="W11" s="50">
        <f>IF(ISNUMBER(T11),IF(C13=Pudotusvalikot!$J$6,(Muut!$H$16+Muut!$H$19)*(T11*K11/100),0),"")</f>
        <v>0</v>
      </c>
      <c r="X11" s="50">
        <f>IF(ISNUMBER(T11),IF(C13=Pudotusvalikot!$J$7,((Muut!$H$15+Muut!$H$18)*(100%-Kalusto!$O$101)+(Muut!$H$14+Muut!$H$17)*Kalusto!$O$101)*(T11*K11/100),0),"")</f>
        <v>0</v>
      </c>
      <c r="Y11" s="74">
        <f>IF(ISNUMBER(T11),IF(C13=Pudotusvalikot!$J$8,((Kalusto!$K$102)*(100%-Kalusto!$O$102)+(Kalusto!$M$102)*Kalusto!$O$102)*(Muut!$H$13+Muut!$H$12)/100*T11/1000+((Kalusto!$G$102)*(100%-Kalusto!$O$102)+(Kalusto!$I$102)*Kalusto!$O$102)*(K11+Muut!$H$18)/100*T11,0),"")</f>
        <v>0</v>
      </c>
      <c r="Z11" s="74">
        <f>IF(ISNUMBER(T11),IF(C13=Pudotusvalikot!$J$9,Kalusto!$E$103*(K11+Muut!$H$12)/100*T11/1000,0),"")</f>
        <v>0</v>
      </c>
      <c r="AA11" s="108"/>
      <c r="AB11" s="36"/>
      <c r="AC11" s="36"/>
      <c r="AD11" s="36"/>
      <c r="AE11" s="36"/>
      <c r="AF11" s="36"/>
      <c r="AG11" s="36"/>
      <c r="AH11" s="36"/>
      <c r="AI11" s="36"/>
      <c r="AJ11" s="36"/>
      <c r="AK11" s="36"/>
      <c r="AL11" s="36"/>
      <c r="AM11" s="36"/>
      <c r="AN11" s="37"/>
      <c r="AO11" s="37"/>
      <c r="AP11" s="37"/>
      <c r="AQ11" s="37"/>
      <c r="AR11" s="37"/>
      <c r="AS11" s="37"/>
      <c r="AT11" s="37"/>
      <c r="AU11" s="37"/>
      <c r="AV11" s="37"/>
      <c r="AW11" s="37"/>
      <c r="AX11" s="37"/>
      <c r="AY11" s="37"/>
      <c r="AZ11" s="37"/>
      <c r="BA11" s="37"/>
      <c r="BB11" s="37"/>
      <c r="BC11" s="37"/>
      <c r="BD11" s="37"/>
      <c r="BE11" s="37"/>
      <c r="BF11" s="108"/>
      <c r="BG11" s="108"/>
    </row>
    <row r="12" spans="2:59" s="31" customFormat="1" ht="15.5" x14ac:dyDescent="0.3">
      <c r="B12" s="54" t="s">
        <v>577</v>
      </c>
      <c r="C12" s="161"/>
      <c r="D12" s="84" t="s">
        <v>5</v>
      </c>
      <c r="G12" s="34"/>
      <c r="H12" s="84"/>
      <c r="J12" s="33"/>
      <c r="K12" s="34"/>
      <c r="L12" s="34"/>
      <c r="M12" s="84"/>
      <c r="N12" s="84"/>
      <c r="O12" s="100"/>
      <c r="Q12" s="35"/>
      <c r="R12" s="99"/>
      <c r="S12" s="36"/>
      <c r="T12" s="36"/>
      <c r="U12" s="36"/>
      <c r="V12" s="36"/>
      <c r="W12" s="36"/>
      <c r="X12" s="36"/>
      <c r="Y12" s="36"/>
      <c r="Z12" s="36"/>
      <c r="AA12" s="36"/>
      <c r="AB12" s="36"/>
      <c r="AC12" s="36"/>
      <c r="AD12" s="36"/>
      <c r="AE12" s="36"/>
      <c r="AF12" s="36"/>
      <c r="AG12" s="36"/>
      <c r="AH12" s="36"/>
      <c r="AI12" s="36"/>
      <c r="AJ12" s="36"/>
      <c r="AK12" s="36"/>
      <c r="AL12" s="36"/>
      <c r="AM12" s="36"/>
      <c r="AN12" s="37"/>
      <c r="AO12" s="37"/>
      <c r="AP12" s="37"/>
      <c r="AQ12" s="37"/>
      <c r="AR12" s="37"/>
      <c r="AS12" s="37"/>
      <c r="AT12" s="37"/>
      <c r="AU12" s="37"/>
      <c r="AV12" s="37"/>
      <c r="AW12" s="37"/>
      <c r="AX12" s="37"/>
      <c r="AY12" s="37"/>
      <c r="AZ12" s="37"/>
      <c r="BA12" s="37"/>
      <c r="BB12" s="37"/>
      <c r="BC12" s="37"/>
      <c r="BD12" s="37"/>
      <c r="BE12" s="37"/>
      <c r="BF12" s="108"/>
      <c r="BG12" s="108"/>
    </row>
    <row r="13" spans="2:59" s="31" customFormat="1" ht="15.5" x14ac:dyDescent="0.3">
      <c r="B13" s="54" t="s">
        <v>576</v>
      </c>
      <c r="C13" s="395" t="s">
        <v>242</v>
      </c>
      <c r="D13" s="395"/>
      <c r="E13" s="46" t="s">
        <v>203</v>
      </c>
      <c r="G13" s="34"/>
      <c r="H13" s="84"/>
      <c r="J13" s="33"/>
      <c r="K13" s="34"/>
      <c r="L13" s="34"/>
      <c r="M13" s="84"/>
      <c r="N13" s="84"/>
      <c r="O13" s="100"/>
      <c r="Q13" s="35"/>
      <c r="R13" s="99"/>
      <c r="S13" s="36"/>
      <c r="T13" s="36"/>
      <c r="U13" s="36"/>
      <c r="V13" s="36"/>
      <c r="W13" s="36"/>
      <c r="X13" s="36"/>
      <c r="Y13" s="36"/>
      <c r="Z13" s="36"/>
      <c r="AA13" s="36"/>
      <c r="AB13" s="36"/>
      <c r="AC13" s="36"/>
      <c r="AD13" s="36"/>
      <c r="AE13" s="36"/>
      <c r="AF13" s="36"/>
      <c r="AG13" s="36"/>
      <c r="AH13" s="36"/>
      <c r="AI13" s="36"/>
      <c r="AJ13" s="36"/>
      <c r="AK13" s="36"/>
      <c r="AL13" s="36"/>
      <c r="AM13" s="36"/>
      <c r="AN13" s="37"/>
      <c r="AO13" s="37"/>
      <c r="AP13" s="37"/>
      <c r="AQ13" s="37"/>
      <c r="AR13" s="37"/>
      <c r="AS13" s="37"/>
      <c r="AT13" s="37"/>
      <c r="AU13" s="37"/>
      <c r="AV13" s="37"/>
      <c r="AW13" s="37"/>
      <c r="AX13" s="37"/>
      <c r="AY13" s="37"/>
      <c r="AZ13" s="37"/>
      <c r="BA13" s="37"/>
      <c r="BB13" s="37"/>
      <c r="BC13" s="37"/>
      <c r="BD13" s="37"/>
      <c r="BE13" s="37"/>
      <c r="BF13" s="108"/>
      <c r="BG13" s="108"/>
    </row>
    <row r="14" spans="2:59" s="31" customFormat="1" ht="15.5" x14ac:dyDescent="0.3">
      <c r="C14" s="34"/>
      <c r="D14" s="84"/>
      <c r="G14" s="34"/>
      <c r="K14" s="34"/>
      <c r="L14" s="34"/>
      <c r="M14" s="34"/>
      <c r="N14" s="34"/>
      <c r="O14" s="34"/>
      <c r="Q14" s="35"/>
      <c r="R14" s="99"/>
      <c r="S14" s="36"/>
      <c r="T14" s="36"/>
      <c r="U14" s="36"/>
      <c r="V14" s="36"/>
      <c r="W14" s="36"/>
      <c r="X14" s="36"/>
      <c r="Y14" s="36"/>
      <c r="Z14" s="36"/>
      <c r="AA14" s="36"/>
      <c r="AB14" s="36"/>
      <c r="AC14" s="36"/>
      <c r="AD14" s="36"/>
      <c r="AE14" s="36"/>
      <c r="AF14" s="36"/>
      <c r="AG14" s="36"/>
      <c r="AH14" s="36"/>
      <c r="AI14" s="36"/>
      <c r="AJ14" s="36"/>
      <c r="AK14" s="36"/>
      <c r="AL14" s="36"/>
      <c r="AM14" s="36"/>
      <c r="AN14" s="36"/>
      <c r="AO14" s="36"/>
      <c r="AP14" s="37"/>
      <c r="AQ14" s="37"/>
      <c r="AR14" s="37"/>
      <c r="AS14" s="37"/>
      <c r="AT14" s="37"/>
      <c r="AU14" s="37"/>
      <c r="AV14" s="37"/>
      <c r="AW14" s="37"/>
      <c r="AX14" s="37"/>
      <c r="AY14" s="37"/>
      <c r="AZ14" s="37"/>
      <c r="BA14" s="37"/>
      <c r="BB14" s="37"/>
      <c r="BC14" s="37"/>
      <c r="BD14" s="37"/>
      <c r="BE14" s="37"/>
      <c r="BF14" s="37"/>
      <c r="BG14" s="37"/>
    </row>
    <row r="15" spans="2:59" ht="13.9" hidden="1" customHeight="1" x14ac:dyDescent="0.3"/>
    <row r="16" spans="2:59" ht="13.9" hidden="1" customHeight="1" x14ac:dyDescent="0.3"/>
    <row r="17" ht="13.9" hidden="1" customHeight="1" x14ac:dyDescent="0.3"/>
    <row r="18" ht="13.9" hidden="1" customHeight="1" x14ac:dyDescent="0.3"/>
    <row r="19" ht="13.9" hidden="1" customHeight="1" x14ac:dyDescent="0.3"/>
    <row r="20" ht="13.9" hidden="1" customHeight="1" x14ac:dyDescent="0.3"/>
    <row r="21" ht="13.9" hidden="1" customHeight="1" x14ac:dyDescent="0.3"/>
    <row r="22" ht="13.9" hidden="1" customHeight="1" x14ac:dyDescent="0.3"/>
    <row r="23" ht="13.9" hidden="1" customHeight="1" x14ac:dyDescent="0.3"/>
    <row r="24" ht="13.9" hidden="1" customHeight="1" x14ac:dyDescent="0.3"/>
    <row r="25" ht="13.9" hidden="1" customHeight="1" x14ac:dyDescent="0.3"/>
    <row r="26" ht="13.9" hidden="1" customHeight="1" x14ac:dyDescent="0.3"/>
    <row r="27" ht="13.9" hidden="1" customHeight="1" x14ac:dyDescent="0.3"/>
    <row r="28" ht="13.9" hidden="1" customHeight="1" x14ac:dyDescent="0.3"/>
    <row r="29" ht="13.9" hidden="1" customHeight="1" x14ac:dyDescent="0.3"/>
    <row r="30" ht="13.9" hidden="1" customHeight="1" x14ac:dyDescent="0.3"/>
    <row r="31" ht="13.9" hidden="1" customHeight="1" x14ac:dyDescent="0.3"/>
    <row r="32" ht="13.9" hidden="1" customHeight="1" x14ac:dyDescent="0.3"/>
    <row r="33" ht="13.9" hidden="1" customHeight="1" x14ac:dyDescent="0.3"/>
    <row r="34" ht="13.9" hidden="1" customHeight="1" x14ac:dyDescent="0.3"/>
    <row r="35" ht="13.9" hidden="1" customHeight="1" x14ac:dyDescent="0.3"/>
    <row r="36" ht="13.9" hidden="1" customHeight="1" x14ac:dyDescent="0.3"/>
    <row r="37" ht="13.9" hidden="1" customHeight="1" x14ac:dyDescent="0.3"/>
    <row r="38" ht="13.9" hidden="1" customHeight="1" x14ac:dyDescent="0.3"/>
    <row r="39" ht="13.9" hidden="1" customHeight="1" x14ac:dyDescent="0.3"/>
    <row r="40" ht="13.9" hidden="1" customHeight="1" x14ac:dyDescent="0.3"/>
    <row r="41" ht="13.9" hidden="1" customHeight="1" x14ac:dyDescent="0.3"/>
    <row r="42" ht="13.9" hidden="1" customHeight="1" x14ac:dyDescent="0.3"/>
    <row r="43" ht="13.9" hidden="1" customHeight="1" x14ac:dyDescent="0.3"/>
    <row r="44" ht="13.9" hidden="1" customHeight="1" x14ac:dyDescent="0.3"/>
    <row r="45" ht="13.9" hidden="1" customHeight="1" x14ac:dyDescent="0.3"/>
    <row r="46" ht="13.9" hidden="1" customHeight="1" x14ac:dyDescent="0.3"/>
    <row r="47" ht="13.9" hidden="1" customHeight="1" x14ac:dyDescent="0.3"/>
    <row r="48" ht="13.9" hidden="1" customHeight="1" x14ac:dyDescent="0.3"/>
    <row r="49" ht="13.9" hidden="1" customHeight="1" x14ac:dyDescent="0.3"/>
    <row r="50" ht="13.9" hidden="1" customHeight="1" x14ac:dyDescent="0.3"/>
    <row r="51" ht="13.9" hidden="1" customHeight="1" x14ac:dyDescent="0.3"/>
    <row r="52" ht="13.9" hidden="1" customHeight="1" x14ac:dyDescent="0.3"/>
    <row r="53" ht="13.9" hidden="1" customHeight="1" x14ac:dyDescent="0.3"/>
    <row r="54" ht="13.9" hidden="1" customHeight="1" x14ac:dyDescent="0.3"/>
    <row r="55" ht="13.9" hidden="1" customHeight="1" x14ac:dyDescent="0.3"/>
    <row r="56" ht="13.9" hidden="1" customHeight="1" x14ac:dyDescent="0.3"/>
    <row r="57" ht="13.9" hidden="1" customHeight="1" x14ac:dyDescent="0.3"/>
    <row r="58" ht="13.9" hidden="1" customHeight="1" x14ac:dyDescent="0.3"/>
    <row r="59" ht="13.9" hidden="1" customHeight="1" x14ac:dyDescent="0.3"/>
    <row r="60" ht="13.9" hidden="1" customHeight="1" x14ac:dyDescent="0.3"/>
    <row r="61" ht="13.9" hidden="1" customHeight="1" x14ac:dyDescent="0.3"/>
    <row r="62" ht="13.9" hidden="1" customHeight="1" x14ac:dyDescent="0.3"/>
    <row r="63" ht="13.9" hidden="1" customHeight="1" x14ac:dyDescent="0.3"/>
    <row r="64" ht="13.9" hidden="1" customHeight="1" x14ac:dyDescent="0.3"/>
    <row r="65" ht="13.9" hidden="1" customHeight="1" x14ac:dyDescent="0.3"/>
    <row r="66" ht="13.9" hidden="1"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13.9" hidden="1" customHeight="1" x14ac:dyDescent="0.3"/>
    <row r="75" ht="13.9" hidden="1" customHeight="1" x14ac:dyDescent="0.3"/>
    <row r="76" ht="13.9" hidden="1" customHeight="1" x14ac:dyDescent="0.3"/>
    <row r="77" ht="13.9" hidden="1" customHeight="1" x14ac:dyDescent="0.3"/>
    <row r="78" ht="13.9" hidden="1" customHeight="1" x14ac:dyDescent="0.3"/>
    <row r="79" ht="13.9" hidden="1" customHeight="1" x14ac:dyDescent="0.3"/>
    <row r="80" ht="13.9" hidden="1" customHeight="1" x14ac:dyDescent="0.3"/>
    <row r="81" ht="13.9" hidden="1" customHeight="1" x14ac:dyDescent="0.3"/>
    <row r="82" ht="13.9" hidden="1" customHeight="1" x14ac:dyDescent="0.3"/>
    <row r="83" ht="13.9" hidden="1" customHeight="1" x14ac:dyDescent="0.3"/>
    <row r="84" ht="13.9" hidden="1" customHeight="1" x14ac:dyDescent="0.3"/>
    <row r="85" ht="13.9" hidden="1" customHeight="1" x14ac:dyDescent="0.3"/>
    <row r="86" ht="13.9" hidden="1" customHeight="1" x14ac:dyDescent="0.3"/>
    <row r="87" ht="13.9" hidden="1" customHeight="1" x14ac:dyDescent="0.3"/>
    <row r="88" ht="13.9" hidden="1" customHeight="1" x14ac:dyDescent="0.3"/>
    <row r="89" ht="13.9" hidden="1" customHeight="1" x14ac:dyDescent="0.3"/>
    <row r="90" ht="13.9" hidden="1" customHeight="1" x14ac:dyDescent="0.3"/>
    <row r="91" ht="13.9" hidden="1" customHeight="1" x14ac:dyDescent="0.3"/>
    <row r="92" ht="13.9" hidden="1" customHeight="1" x14ac:dyDescent="0.3"/>
    <row r="93" ht="13.9" hidden="1" customHeight="1" x14ac:dyDescent="0.3"/>
    <row r="94" ht="13.9" hidden="1" customHeight="1" x14ac:dyDescent="0.3"/>
    <row r="95" ht="13.9" hidden="1" customHeight="1" x14ac:dyDescent="0.3"/>
    <row r="96" ht="13.9" hidden="1" customHeight="1" x14ac:dyDescent="0.3"/>
    <row r="97" ht="13.9" hidden="1" customHeight="1" x14ac:dyDescent="0.3"/>
    <row r="98" ht="13.9" hidden="1" customHeight="1" x14ac:dyDescent="0.3"/>
    <row r="99" ht="13.9" hidden="1" customHeight="1" x14ac:dyDescent="0.3"/>
    <row r="100" ht="13.9" hidden="1" customHeight="1" x14ac:dyDescent="0.3"/>
    <row r="101" ht="13.9" hidden="1" customHeight="1" x14ac:dyDescent="0.3"/>
    <row r="102" ht="13.9" hidden="1" customHeight="1" x14ac:dyDescent="0.3"/>
    <row r="103" ht="13.9" hidden="1" customHeight="1" x14ac:dyDescent="0.3"/>
    <row r="104" ht="13.9" hidden="1" customHeight="1" x14ac:dyDescent="0.3"/>
    <row r="105" ht="13.9" hidden="1" customHeight="1" x14ac:dyDescent="0.3"/>
    <row r="106" ht="13.9" hidden="1" customHeight="1" x14ac:dyDescent="0.3"/>
    <row r="107" ht="13.9" hidden="1" customHeight="1" x14ac:dyDescent="0.3"/>
    <row r="108" ht="13.9" hidden="1" customHeight="1" x14ac:dyDescent="0.3"/>
    <row r="109" ht="13.9" hidden="1" customHeight="1" x14ac:dyDescent="0.3"/>
    <row r="110" ht="13.9" hidden="1" customHeight="1" x14ac:dyDescent="0.3"/>
    <row r="111" ht="13.9" hidden="1" customHeight="1" x14ac:dyDescent="0.3"/>
    <row r="112" ht="13.9" hidden="1" customHeight="1" x14ac:dyDescent="0.3"/>
    <row r="113" ht="13.9" hidden="1" customHeight="1" x14ac:dyDescent="0.3"/>
    <row r="114" ht="13.9" hidden="1" customHeight="1" x14ac:dyDescent="0.3"/>
    <row r="115" ht="13.9" hidden="1" customHeight="1" x14ac:dyDescent="0.3"/>
    <row r="116" ht="13.9" hidden="1" customHeight="1" x14ac:dyDescent="0.3"/>
    <row r="117" ht="13.9" hidden="1" customHeight="1" x14ac:dyDescent="0.3"/>
    <row r="118" ht="13.9" hidden="1" customHeight="1" x14ac:dyDescent="0.3"/>
    <row r="119" ht="13.9" hidden="1" customHeight="1" x14ac:dyDescent="0.3"/>
    <row r="120" ht="13.9" hidden="1" customHeight="1" x14ac:dyDescent="0.3"/>
    <row r="121" ht="13.9" hidden="1" customHeight="1" x14ac:dyDescent="0.3"/>
    <row r="122" ht="13.9" hidden="1" customHeight="1" x14ac:dyDescent="0.3"/>
    <row r="123" ht="13.9" hidden="1" customHeight="1" x14ac:dyDescent="0.3"/>
    <row r="124" ht="13.9" hidden="1" customHeight="1" x14ac:dyDescent="0.3"/>
    <row r="125" ht="13.9" hidden="1" customHeight="1" x14ac:dyDescent="0.3"/>
    <row r="126" ht="13.9" hidden="1" customHeight="1" x14ac:dyDescent="0.3"/>
    <row r="127" ht="13.9" hidden="1" customHeight="1" x14ac:dyDescent="0.3"/>
    <row r="128" ht="13.9" hidden="1" customHeight="1" x14ac:dyDescent="0.3"/>
    <row r="129" ht="13.9" hidden="1" customHeight="1" x14ac:dyDescent="0.3"/>
    <row r="130" ht="13.9" hidden="1" customHeight="1" x14ac:dyDescent="0.3"/>
    <row r="131" ht="13.9" hidden="1" customHeight="1" x14ac:dyDescent="0.3"/>
    <row r="132" ht="13.9" hidden="1" customHeight="1" x14ac:dyDescent="0.3"/>
    <row r="133" ht="13.9" hidden="1" customHeight="1" x14ac:dyDescent="0.3"/>
    <row r="134" ht="13.9" hidden="1" customHeight="1" x14ac:dyDescent="0.3"/>
    <row r="135" ht="13.9" hidden="1" customHeight="1" x14ac:dyDescent="0.3"/>
    <row r="136" ht="13.9" hidden="1" customHeight="1" x14ac:dyDescent="0.3"/>
    <row r="137" ht="13.9" hidden="1" customHeight="1" x14ac:dyDescent="0.3"/>
    <row r="138" ht="13.9" hidden="1" customHeight="1" x14ac:dyDescent="0.3"/>
    <row r="139" ht="13.9" hidden="1" customHeight="1" x14ac:dyDescent="0.3"/>
    <row r="140" ht="13.9" hidden="1" customHeight="1" x14ac:dyDescent="0.3"/>
    <row r="141" ht="13.9" hidden="1" customHeight="1" x14ac:dyDescent="0.3"/>
    <row r="142" ht="13.9" hidden="1" customHeight="1" x14ac:dyDescent="0.3"/>
    <row r="143" ht="13.9" hidden="1" customHeight="1" x14ac:dyDescent="0.3"/>
    <row r="144" ht="13.9" hidden="1" customHeight="1" x14ac:dyDescent="0.3"/>
    <row r="145" ht="13.9" hidden="1" customHeight="1" x14ac:dyDescent="0.3"/>
    <row r="146" ht="13.9" hidden="1" customHeight="1" x14ac:dyDescent="0.3"/>
    <row r="147" ht="13.9" hidden="1" customHeight="1" x14ac:dyDescent="0.3"/>
    <row r="148" ht="13.9" hidden="1" customHeight="1" x14ac:dyDescent="0.3"/>
    <row r="149" ht="13.9" hidden="1" customHeight="1" x14ac:dyDescent="0.3"/>
    <row r="150" ht="13.9" hidden="1" customHeight="1" x14ac:dyDescent="0.3"/>
    <row r="151" ht="13.9" hidden="1" customHeight="1" x14ac:dyDescent="0.3"/>
    <row r="152" ht="13.9" hidden="1" customHeight="1" x14ac:dyDescent="0.3"/>
    <row r="153" ht="13.9" hidden="1" customHeight="1" x14ac:dyDescent="0.3"/>
    <row r="154" ht="13.9" hidden="1" customHeight="1" x14ac:dyDescent="0.3"/>
    <row r="155" ht="13.9" hidden="1" customHeight="1" x14ac:dyDescent="0.3"/>
    <row r="156" ht="13.9" hidden="1" customHeight="1" x14ac:dyDescent="0.3"/>
    <row r="157" ht="13.9" hidden="1" customHeight="1" x14ac:dyDescent="0.3"/>
    <row r="158" ht="13.9" hidden="1" customHeight="1" x14ac:dyDescent="0.3"/>
    <row r="159" ht="13.9" hidden="1" customHeight="1" x14ac:dyDescent="0.3"/>
    <row r="160" ht="13.9" hidden="1" customHeight="1" x14ac:dyDescent="0.3"/>
    <row r="161" ht="13.9" hidden="1" customHeight="1" x14ac:dyDescent="0.3"/>
    <row r="162" ht="13.9" hidden="1" customHeight="1" x14ac:dyDescent="0.3"/>
    <row r="163" ht="13.9" hidden="1" customHeight="1" x14ac:dyDescent="0.3"/>
    <row r="164" ht="13.9" hidden="1" customHeight="1" x14ac:dyDescent="0.3"/>
    <row r="165" ht="13.9" hidden="1" customHeight="1" x14ac:dyDescent="0.3"/>
    <row r="166" ht="13.9" hidden="1" customHeight="1" x14ac:dyDescent="0.3"/>
    <row r="167" ht="13.9" hidden="1" customHeight="1" x14ac:dyDescent="0.3"/>
    <row r="168" ht="13.9" hidden="1" customHeight="1" x14ac:dyDescent="0.3"/>
    <row r="169" ht="13.9" hidden="1" customHeight="1" x14ac:dyDescent="0.3"/>
    <row r="170" ht="13.9" hidden="1" customHeight="1" x14ac:dyDescent="0.3"/>
    <row r="171" ht="13.9" hidden="1" customHeight="1" x14ac:dyDescent="0.3"/>
    <row r="172" ht="13.9" hidden="1" customHeight="1" x14ac:dyDescent="0.3"/>
    <row r="173" ht="13.9" hidden="1" customHeight="1" x14ac:dyDescent="0.3"/>
    <row r="174" ht="13.9" hidden="1" customHeight="1" x14ac:dyDescent="0.3"/>
    <row r="175" ht="13.9" hidden="1" customHeight="1" x14ac:dyDescent="0.3"/>
    <row r="176" ht="13.9" hidden="1" customHeight="1" x14ac:dyDescent="0.3"/>
    <row r="177" ht="13.9" hidden="1" customHeight="1" x14ac:dyDescent="0.3"/>
    <row r="178" ht="13.9" hidden="1" customHeight="1" x14ac:dyDescent="0.3"/>
    <row r="179" ht="13.9" hidden="1" customHeight="1" x14ac:dyDescent="0.3"/>
    <row r="180" ht="13.9" hidden="1" customHeight="1" x14ac:dyDescent="0.3"/>
    <row r="181" ht="13.9" hidden="1" customHeight="1" x14ac:dyDescent="0.3"/>
    <row r="182" ht="13.9" hidden="1" customHeight="1" x14ac:dyDescent="0.3"/>
    <row r="183" ht="13.9" hidden="1" customHeight="1" x14ac:dyDescent="0.3"/>
    <row r="184" ht="13.9" hidden="1" customHeight="1" x14ac:dyDescent="0.3"/>
    <row r="185" ht="13.9" hidden="1" customHeight="1" x14ac:dyDescent="0.3"/>
    <row r="186" ht="13.9" hidden="1" customHeight="1" x14ac:dyDescent="0.3"/>
    <row r="187" ht="13.9" hidden="1" customHeight="1" x14ac:dyDescent="0.3"/>
    <row r="188" ht="13.9" hidden="1" customHeight="1" x14ac:dyDescent="0.3"/>
    <row r="189" ht="13.9" hidden="1" customHeight="1" x14ac:dyDescent="0.3"/>
    <row r="190" ht="13.9" hidden="1" customHeight="1" x14ac:dyDescent="0.3"/>
    <row r="191" ht="13.9" hidden="1" customHeight="1" x14ac:dyDescent="0.3"/>
    <row r="192" ht="13.9" hidden="1" customHeight="1" x14ac:dyDescent="0.3"/>
    <row r="193" ht="13.9" hidden="1" customHeight="1" x14ac:dyDescent="0.3"/>
    <row r="194" ht="13.9" hidden="1" customHeight="1" x14ac:dyDescent="0.3"/>
    <row r="195" ht="13.9" hidden="1" customHeight="1" x14ac:dyDescent="0.3"/>
    <row r="196" ht="13.9" hidden="1" customHeight="1" x14ac:dyDescent="0.3"/>
    <row r="197" ht="13.9" hidden="1" customHeight="1" x14ac:dyDescent="0.3"/>
    <row r="198" ht="13.9" hidden="1" customHeight="1" x14ac:dyDescent="0.3"/>
    <row r="199" ht="13.9" hidden="1" customHeight="1" x14ac:dyDescent="0.3"/>
    <row r="200" ht="13.9" hidden="1" customHeight="1" x14ac:dyDescent="0.3"/>
    <row r="201" ht="13.9" hidden="1" customHeight="1" x14ac:dyDescent="0.3"/>
    <row r="202" ht="13.9" hidden="1" customHeight="1" x14ac:dyDescent="0.3"/>
    <row r="203" ht="13.9" hidden="1" customHeight="1" x14ac:dyDescent="0.3"/>
    <row r="204" ht="13.9" hidden="1" customHeight="1" x14ac:dyDescent="0.3"/>
    <row r="205" ht="13.9" hidden="1" customHeight="1" x14ac:dyDescent="0.3"/>
    <row r="206" ht="13.9" hidden="1" customHeight="1" x14ac:dyDescent="0.3"/>
    <row r="207" ht="13.9" hidden="1" customHeight="1" x14ac:dyDescent="0.3"/>
    <row r="208" ht="13.9" hidden="1" customHeight="1" x14ac:dyDescent="0.3"/>
    <row r="209" ht="13.9" hidden="1" customHeight="1" x14ac:dyDescent="0.3"/>
    <row r="210" ht="13.9" hidden="1" customHeight="1" x14ac:dyDescent="0.3"/>
    <row r="211" ht="13.9" hidden="1" customHeight="1" x14ac:dyDescent="0.3"/>
    <row r="212" ht="13.9" hidden="1" customHeight="1" x14ac:dyDescent="0.3"/>
    <row r="213" ht="13.9" hidden="1" customHeight="1" x14ac:dyDescent="0.3"/>
    <row r="214" ht="13.9" hidden="1" customHeight="1" x14ac:dyDescent="0.3"/>
    <row r="215" ht="13.9" hidden="1" customHeight="1" x14ac:dyDescent="0.3"/>
    <row r="216" ht="13.9" hidden="1" customHeight="1" x14ac:dyDescent="0.3"/>
    <row r="217" ht="13.9" hidden="1" customHeight="1" x14ac:dyDescent="0.3"/>
    <row r="218" ht="13.9" hidden="1" customHeight="1" x14ac:dyDescent="0.3"/>
    <row r="219" ht="13.9" hidden="1" customHeight="1" x14ac:dyDescent="0.3"/>
    <row r="220" ht="13.9" hidden="1" customHeight="1" x14ac:dyDescent="0.3"/>
    <row r="221" ht="13.9" hidden="1" customHeight="1" x14ac:dyDescent="0.3"/>
    <row r="222" ht="13.9" hidden="1" customHeight="1" x14ac:dyDescent="0.3"/>
    <row r="223" ht="13.9" hidden="1" customHeight="1" x14ac:dyDescent="0.3"/>
    <row r="224" ht="13.9" hidden="1" customHeight="1" x14ac:dyDescent="0.3"/>
    <row r="225" ht="13.9" hidden="1" customHeight="1" x14ac:dyDescent="0.3"/>
    <row r="226" ht="13.9" hidden="1" customHeight="1" x14ac:dyDescent="0.3"/>
    <row r="227" ht="13.9" hidden="1" customHeight="1" x14ac:dyDescent="0.3"/>
    <row r="228" ht="13.9" hidden="1" customHeight="1" x14ac:dyDescent="0.3"/>
    <row r="229" ht="13.9" hidden="1" customHeight="1" x14ac:dyDescent="0.3"/>
    <row r="230" ht="13.9" hidden="1" customHeight="1" x14ac:dyDescent="0.3"/>
    <row r="231" ht="13.9" hidden="1" customHeight="1" x14ac:dyDescent="0.3"/>
    <row r="232" ht="13.9" hidden="1" customHeight="1" x14ac:dyDescent="0.3"/>
    <row r="233" ht="13.9" hidden="1" customHeight="1" x14ac:dyDescent="0.3"/>
    <row r="234" ht="13.9" hidden="1" customHeight="1" x14ac:dyDescent="0.3"/>
    <row r="235" ht="13.9" hidden="1" customHeight="1" x14ac:dyDescent="0.3"/>
    <row r="236" ht="13.9" hidden="1" customHeight="1" x14ac:dyDescent="0.3"/>
    <row r="237" ht="13.9" hidden="1" customHeight="1" x14ac:dyDescent="0.3"/>
    <row r="238" ht="13.9" hidden="1" customHeight="1" x14ac:dyDescent="0.3"/>
    <row r="239" ht="13.9" hidden="1" customHeight="1" x14ac:dyDescent="0.3"/>
    <row r="240" ht="13.9" hidden="1" customHeight="1" x14ac:dyDescent="0.3"/>
    <row r="241" ht="13.9" hidden="1" customHeight="1" x14ac:dyDescent="0.3"/>
    <row r="242" ht="13.9" hidden="1" customHeight="1" x14ac:dyDescent="0.3"/>
    <row r="243" ht="13.9" hidden="1" customHeight="1" x14ac:dyDescent="0.3"/>
    <row r="244" ht="13.9" hidden="1" customHeight="1" x14ac:dyDescent="0.3"/>
    <row r="245" ht="13.9" hidden="1" customHeight="1" x14ac:dyDescent="0.3"/>
    <row r="246" ht="13.9" hidden="1" customHeight="1" x14ac:dyDescent="0.3"/>
    <row r="247" ht="13.9" hidden="1" customHeight="1" x14ac:dyDescent="0.3"/>
    <row r="248" ht="13.9" hidden="1" customHeight="1" x14ac:dyDescent="0.3"/>
    <row r="249" ht="13.9" hidden="1" customHeight="1" x14ac:dyDescent="0.3"/>
    <row r="250" ht="13.9" hidden="1" customHeight="1" x14ac:dyDescent="0.3"/>
    <row r="251" ht="13.9" hidden="1" customHeight="1" x14ac:dyDescent="0.3"/>
    <row r="252" ht="13.9" hidden="1" customHeight="1" x14ac:dyDescent="0.3"/>
    <row r="253" ht="13.9" hidden="1" customHeight="1" x14ac:dyDescent="0.3"/>
    <row r="254" ht="13.9" hidden="1" customHeight="1" x14ac:dyDescent="0.3"/>
    <row r="255" ht="13.9" hidden="1" customHeight="1" x14ac:dyDescent="0.3"/>
    <row r="256" ht="13.9" hidden="1" customHeight="1" x14ac:dyDescent="0.3"/>
    <row r="257" ht="13.9" hidden="1" customHeight="1" x14ac:dyDescent="0.3"/>
    <row r="258" ht="13.9" hidden="1" customHeight="1" x14ac:dyDescent="0.3"/>
    <row r="259" ht="13.9" hidden="1" customHeight="1" x14ac:dyDescent="0.3"/>
    <row r="260" ht="13.9" hidden="1" customHeight="1" x14ac:dyDescent="0.3"/>
    <row r="261" ht="13.9" hidden="1" customHeight="1" x14ac:dyDescent="0.3"/>
    <row r="262" ht="13.9" hidden="1" customHeight="1" x14ac:dyDescent="0.3"/>
    <row r="263" ht="13.9" hidden="1" customHeight="1" x14ac:dyDescent="0.3"/>
    <row r="264" ht="13.9" hidden="1" customHeight="1" x14ac:dyDescent="0.3"/>
    <row r="265" ht="13.9" hidden="1" customHeight="1" x14ac:dyDescent="0.3"/>
    <row r="266" ht="13.9" hidden="1" customHeight="1" x14ac:dyDescent="0.3"/>
    <row r="267" ht="13.9" hidden="1" customHeight="1" x14ac:dyDescent="0.3"/>
    <row r="268" ht="13.9" hidden="1" customHeight="1" x14ac:dyDescent="0.3"/>
    <row r="269" ht="13.9" hidden="1" customHeight="1" x14ac:dyDescent="0.3"/>
    <row r="270" ht="13.9" hidden="1" customHeight="1" x14ac:dyDescent="0.3"/>
    <row r="271" ht="13.9" hidden="1" customHeight="1" x14ac:dyDescent="0.3"/>
    <row r="272" ht="13.9" hidden="1" customHeight="1" x14ac:dyDescent="0.3"/>
    <row r="273" ht="13.9" hidden="1" customHeight="1" x14ac:dyDescent="0.3"/>
    <row r="274" ht="13.9" hidden="1" customHeight="1" x14ac:dyDescent="0.3"/>
    <row r="275" ht="13.9" hidden="1" customHeight="1" x14ac:dyDescent="0.3"/>
    <row r="276" ht="13.9" hidden="1" customHeight="1" x14ac:dyDescent="0.3"/>
    <row r="277" ht="13.9" hidden="1" customHeight="1" x14ac:dyDescent="0.3"/>
    <row r="278" ht="13.9" hidden="1" customHeight="1" x14ac:dyDescent="0.3"/>
    <row r="279" ht="13.9" hidden="1" customHeight="1" x14ac:dyDescent="0.3"/>
    <row r="280" ht="13.9" hidden="1" customHeight="1" x14ac:dyDescent="0.3"/>
    <row r="281" ht="13.9" hidden="1" customHeight="1" x14ac:dyDescent="0.3"/>
    <row r="282" ht="13.9" hidden="1" customHeight="1" x14ac:dyDescent="0.3"/>
    <row r="283" ht="13.9" hidden="1" customHeight="1" x14ac:dyDescent="0.3"/>
    <row r="284" ht="13.9" hidden="1" customHeight="1" x14ac:dyDescent="0.3"/>
    <row r="285" ht="13.9" hidden="1" customHeight="1" x14ac:dyDescent="0.3"/>
    <row r="286" ht="13.9" hidden="1" customHeight="1" x14ac:dyDescent="0.3"/>
    <row r="287" ht="13.9" hidden="1" customHeight="1" x14ac:dyDescent="0.3"/>
    <row r="288" ht="13.9" hidden="1" customHeight="1" x14ac:dyDescent="0.3"/>
    <row r="289" ht="13.9" hidden="1" customHeight="1" x14ac:dyDescent="0.3"/>
    <row r="290" ht="13.9" hidden="1" customHeight="1" x14ac:dyDescent="0.3"/>
    <row r="291" ht="13.9" hidden="1" customHeight="1" x14ac:dyDescent="0.3"/>
    <row r="292" ht="13.9" hidden="1" customHeight="1" x14ac:dyDescent="0.3"/>
    <row r="293" ht="13.9" hidden="1" customHeight="1" x14ac:dyDescent="0.3"/>
    <row r="294" ht="13.9" hidden="1" customHeight="1" x14ac:dyDescent="0.3"/>
    <row r="295" ht="13.9" hidden="1" customHeight="1" x14ac:dyDescent="0.3"/>
    <row r="296" ht="13.9" hidden="1" customHeight="1" x14ac:dyDescent="0.3"/>
    <row r="297" ht="13.9" hidden="1" customHeight="1" x14ac:dyDescent="0.3"/>
    <row r="298" ht="13.9" hidden="1" customHeight="1" x14ac:dyDescent="0.3"/>
    <row r="299" ht="13.9" hidden="1" customHeight="1" x14ac:dyDescent="0.3"/>
    <row r="300" ht="13.9" hidden="1" customHeight="1" x14ac:dyDescent="0.3"/>
    <row r="301" ht="13.9" hidden="1" customHeight="1" x14ac:dyDescent="0.3"/>
    <row r="302" ht="13.9" hidden="1" customHeight="1" x14ac:dyDescent="0.3"/>
    <row r="303" ht="13.9" hidden="1" customHeight="1" x14ac:dyDescent="0.3"/>
    <row r="304" ht="13.9" hidden="1" customHeight="1" x14ac:dyDescent="0.3"/>
    <row r="305" ht="13.9" hidden="1" customHeight="1" x14ac:dyDescent="0.3"/>
    <row r="306" ht="13.9" hidden="1" customHeight="1" x14ac:dyDescent="0.3"/>
    <row r="307" ht="13.9" hidden="1" customHeight="1" x14ac:dyDescent="0.3"/>
    <row r="308" ht="13.9" hidden="1" customHeight="1" x14ac:dyDescent="0.3"/>
    <row r="309" ht="13.9" hidden="1" customHeight="1" x14ac:dyDescent="0.3"/>
    <row r="310" ht="13.9" hidden="1" customHeight="1" x14ac:dyDescent="0.3"/>
    <row r="311" ht="13.9" hidden="1" customHeight="1" x14ac:dyDescent="0.3"/>
    <row r="312" ht="13.9" hidden="1" customHeight="1" x14ac:dyDescent="0.3"/>
    <row r="313" ht="13.9" hidden="1" customHeight="1" x14ac:dyDescent="0.3"/>
    <row r="314" ht="13.9" hidden="1" customHeight="1" x14ac:dyDescent="0.3"/>
    <row r="315" ht="13.9" hidden="1" customHeight="1" x14ac:dyDescent="0.3"/>
    <row r="316" ht="13.9" hidden="1" customHeight="1" x14ac:dyDescent="0.3"/>
    <row r="317" ht="13.9" hidden="1" customHeight="1" x14ac:dyDescent="0.3"/>
    <row r="318" ht="13.9" hidden="1" customHeight="1" x14ac:dyDescent="0.3"/>
    <row r="319" ht="13.9" hidden="1" customHeight="1" x14ac:dyDescent="0.3"/>
    <row r="320" ht="13.9" hidden="1" customHeight="1" x14ac:dyDescent="0.3"/>
    <row r="321" ht="13.9" hidden="1" customHeight="1" x14ac:dyDescent="0.3"/>
    <row r="322" ht="13.9" hidden="1" customHeight="1" x14ac:dyDescent="0.3"/>
    <row r="323" ht="13.9" hidden="1" customHeight="1" x14ac:dyDescent="0.3"/>
    <row r="324" ht="13.9" hidden="1" customHeight="1" x14ac:dyDescent="0.3"/>
    <row r="325" ht="13.9" hidden="1" customHeight="1" x14ac:dyDescent="0.3"/>
    <row r="326" ht="13.9" hidden="1" customHeight="1" x14ac:dyDescent="0.3"/>
    <row r="327" ht="13.9" hidden="1" customHeight="1" x14ac:dyDescent="0.3"/>
    <row r="328" ht="13.9" hidden="1" customHeight="1" x14ac:dyDescent="0.3"/>
    <row r="329" ht="13.9" hidden="1" customHeight="1" x14ac:dyDescent="0.3"/>
    <row r="330" ht="13.9" hidden="1" customHeight="1" x14ac:dyDescent="0.3"/>
    <row r="331" ht="13.9" hidden="1" customHeight="1" x14ac:dyDescent="0.3"/>
    <row r="332" ht="13.9" hidden="1" customHeight="1" x14ac:dyDescent="0.3"/>
    <row r="333" ht="13.9" hidden="1" customHeight="1" x14ac:dyDescent="0.3"/>
    <row r="334" ht="13.9" hidden="1" customHeight="1" x14ac:dyDescent="0.3"/>
    <row r="335" ht="13.9" hidden="1" customHeight="1" x14ac:dyDescent="0.3"/>
    <row r="336" ht="13.9" hidden="1" customHeight="1" x14ac:dyDescent="0.3"/>
    <row r="337" ht="13.9" hidden="1" customHeight="1" x14ac:dyDescent="0.3"/>
    <row r="338" ht="13.9" hidden="1" customHeight="1" x14ac:dyDescent="0.3"/>
    <row r="339" ht="13.9" hidden="1" customHeight="1" x14ac:dyDescent="0.3"/>
    <row r="340" ht="13.9" hidden="1" customHeight="1" x14ac:dyDescent="0.3"/>
    <row r="341" ht="13.9" hidden="1" customHeight="1" x14ac:dyDescent="0.3"/>
    <row r="342" ht="13.9" hidden="1" customHeight="1" x14ac:dyDescent="0.3"/>
    <row r="343" ht="13.9" hidden="1" customHeight="1" x14ac:dyDescent="0.3"/>
    <row r="344" ht="13.9" hidden="1" customHeight="1" x14ac:dyDescent="0.3"/>
    <row r="345" ht="13.9" hidden="1" customHeight="1" x14ac:dyDescent="0.3"/>
    <row r="346" ht="13.9" hidden="1" customHeight="1" x14ac:dyDescent="0.3"/>
    <row r="347" ht="13.9" hidden="1" customHeight="1" x14ac:dyDescent="0.3"/>
    <row r="348" ht="13.9" hidden="1" customHeight="1" x14ac:dyDescent="0.3"/>
    <row r="349" ht="13.9" hidden="1" customHeight="1" x14ac:dyDescent="0.3"/>
    <row r="350" ht="13.9" hidden="1" customHeight="1" x14ac:dyDescent="0.3"/>
    <row r="351" ht="13.9" hidden="1" customHeight="1" x14ac:dyDescent="0.3"/>
    <row r="352" ht="13.9" hidden="1" customHeight="1" x14ac:dyDescent="0.3"/>
    <row r="353" ht="13.9" hidden="1" customHeight="1" x14ac:dyDescent="0.3"/>
    <row r="354" ht="13.9" hidden="1" customHeight="1" x14ac:dyDescent="0.3"/>
    <row r="355" ht="13.9" hidden="1" customHeight="1" x14ac:dyDescent="0.3"/>
    <row r="356" ht="13.9" hidden="1" customHeight="1" x14ac:dyDescent="0.3"/>
    <row r="357" ht="13.9" hidden="1" customHeight="1" x14ac:dyDescent="0.3"/>
    <row r="358" ht="13.9" hidden="1" customHeight="1" x14ac:dyDescent="0.3"/>
    <row r="359" ht="13.9" hidden="1" customHeight="1" x14ac:dyDescent="0.3"/>
    <row r="360" ht="13.9" hidden="1" customHeight="1" x14ac:dyDescent="0.3"/>
    <row r="361" ht="13.9" hidden="1" customHeight="1" x14ac:dyDescent="0.3"/>
    <row r="362" ht="13.9" hidden="1" customHeight="1" x14ac:dyDescent="0.3"/>
    <row r="363" ht="13.9" hidden="1" customHeight="1" x14ac:dyDescent="0.3"/>
    <row r="364" ht="13.9" hidden="1" customHeight="1" x14ac:dyDescent="0.3"/>
    <row r="365" ht="13.9" hidden="1" customHeight="1" x14ac:dyDescent="0.3"/>
    <row r="366" ht="13.9" hidden="1" customHeight="1" x14ac:dyDescent="0.3"/>
    <row r="367" ht="13.9" hidden="1" customHeight="1" x14ac:dyDescent="0.3"/>
    <row r="368" ht="13.9" hidden="1" customHeight="1" x14ac:dyDescent="0.3"/>
    <row r="369" ht="13.9" hidden="1" customHeight="1" x14ac:dyDescent="0.3"/>
    <row r="370" ht="13.9" hidden="1" customHeight="1" x14ac:dyDescent="0.3"/>
    <row r="371" ht="13.9" hidden="1" customHeight="1" x14ac:dyDescent="0.3"/>
    <row r="372" ht="13.9" hidden="1" customHeight="1" x14ac:dyDescent="0.3"/>
    <row r="373" ht="13.9" hidden="1" customHeight="1" x14ac:dyDescent="0.3"/>
    <row r="374" ht="13.9" hidden="1" customHeight="1" x14ac:dyDescent="0.3"/>
    <row r="375" ht="13.9" hidden="1" customHeight="1" x14ac:dyDescent="0.3"/>
    <row r="376" ht="13.9" hidden="1" customHeight="1" x14ac:dyDescent="0.3"/>
    <row r="377" ht="13.9" hidden="1" customHeight="1" x14ac:dyDescent="0.3"/>
    <row r="378" ht="13.9" hidden="1" customHeight="1" x14ac:dyDescent="0.3"/>
    <row r="379" ht="13.9" hidden="1" customHeight="1" x14ac:dyDescent="0.3"/>
    <row r="380" ht="13.9" hidden="1" customHeight="1" x14ac:dyDescent="0.3"/>
    <row r="381" ht="13.9" hidden="1" customHeight="1" x14ac:dyDescent="0.3"/>
    <row r="382" ht="13.9" hidden="1" customHeight="1" x14ac:dyDescent="0.3"/>
    <row r="383" ht="13.9" hidden="1" customHeight="1" x14ac:dyDescent="0.3"/>
    <row r="384" ht="13.9" hidden="1" customHeight="1" x14ac:dyDescent="0.3"/>
    <row r="385" ht="13.9" hidden="1" customHeight="1" x14ac:dyDescent="0.3"/>
    <row r="386" ht="13.9" hidden="1" customHeight="1" x14ac:dyDescent="0.3"/>
    <row r="387" ht="13.9" hidden="1" customHeight="1" x14ac:dyDescent="0.3"/>
    <row r="388" ht="13.9" hidden="1" customHeight="1" x14ac:dyDescent="0.3"/>
    <row r="389" ht="13.9" hidden="1" customHeight="1" x14ac:dyDescent="0.3"/>
    <row r="390" ht="13.9" hidden="1" customHeight="1" x14ac:dyDescent="0.3"/>
    <row r="391" ht="13.9" hidden="1" customHeight="1" x14ac:dyDescent="0.3"/>
    <row r="392" ht="13.9" hidden="1" customHeight="1" x14ac:dyDescent="0.3"/>
    <row r="393" ht="13.9" hidden="1" customHeight="1" x14ac:dyDescent="0.3"/>
    <row r="394" ht="13.9" hidden="1" customHeight="1" x14ac:dyDescent="0.3"/>
    <row r="395" ht="13.9" hidden="1" customHeight="1" x14ac:dyDescent="0.3"/>
    <row r="396" ht="13.9" hidden="1" customHeight="1" x14ac:dyDescent="0.3"/>
    <row r="397" ht="13.9" hidden="1" customHeight="1" x14ac:dyDescent="0.3"/>
    <row r="398" ht="13.9" hidden="1" customHeight="1" x14ac:dyDescent="0.3"/>
    <row r="399" ht="13.9" hidden="1" customHeight="1" x14ac:dyDescent="0.3"/>
    <row r="400" ht="13.9" hidden="1" customHeight="1" x14ac:dyDescent="0.3"/>
    <row r="401" spans="17:59" ht="13.9" customHeight="1" x14ac:dyDescent="0.3">
      <c r="Q401" s="24"/>
      <c r="R401" s="285" t="s">
        <v>346</v>
      </c>
      <c r="S401" s="22"/>
      <c r="T401" s="233"/>
      <c r="U401" s="234"/>
      <c r="V401" s="234"/>
      <c r="W401" s="234"/>
      <c r="X401" s="234"/>
      <c r="Y401" s="234"/>
      <c r="Z401" s="234"/>
      <c r="AA401" s="234"/>
      <c r="AB401" s="234"/>
      <c r="AC401" s="234"/>
      <c r="AD401" s="234"/>
      <c r="AN401" s="23"/>
      <c r="AO401" s="23"/>
      <c r="BF401" s="5"/>
      <c r="BG401" s="5"/>
    </row>
    <row r="402" spans="17:59" ht="13.9" customHeight="1" x14ac:dyDescent="0.3">
      <c r="Q402" s="24"/>
      <c r="R402" s="244"/>
      <c r="S402" s="23"/>
      <c r="T402" s="233"/>
      <c r="U402" s="234"/>
      <c r="V402" s="234"/>
      <c r="W402" s="234"/>
      <c r="X402" s="234"/>
      <c r="Y402" s="234" t="s">
        <v>172</v>
      </c>
      <c r="Z402" s="234" t="s">
        <v>658</v>
      </c>
      <c r="AA402" s="234"/>
      <c r="AB402" s="234"/>
      <c r="AC402" s="234"/>
      <c r="AD402" s="234"/>
      <c r="AN402" s="23"/>
      <c r="AO402" s="23"/>
      <c r="BF402" s="5"/>
      <c r="BG402" s="5"/>
    </row>
    <row r="403" spans="17:59" ht="13.9" customHeight="1" x14ac:dyDescent="0.3">
      <c r="Q403" s="24"/>
      <c r="R403" s="244"/>
      <c r="S403" s="286" t="str">
        <f>B9</f>
        <v>Työasiamatkat ennen puhdistamista (tutkimukset, tarkkailut ym.) lukumäärinä vuodessa</v>
      </c>
      <c r="T403" s="287"/>
      <c r="U403" s="288"/>
      <c r="V403" s="288"/>
      <c r="W403" s="288" t="s">
        <v>732</v>
      </c>
      <c r="X403" s="288" t="s">
        <v>674</v>
      </c>
      <c r="Y403" s="289">
        <f>SUM(Y404:Y405)</f>
        <v>0</v>
      </c>
      <c r="Z403" s="290" t="str">
        <f>IF(ISERROR(Y403/$Y$407),"--",Y403/$Y$407)</f>
        <v>--</v>
      </c>
      <c r="AA403" s="234"/>
      <c r="AB403" s="234"/>
      <c r="AC403" s="234"/>
      <c r="AD403" s="234"/>
      <c r="AN403" s="23"/>
      <c r="AO403" s="23"/>
      <c r="BF403" s="5"/>
      <c r="BG403" s="5"/>
    </row>
    <row r="404" spans="17:59" ht="13.9" customHeight="1" x14ac:dyDescent="0.3">
      <c r="Q404" s="24"/>
      <c r="R404" s="244"/>
      <c r="S404" s="212" t="s">
        <v>60</v>
      </c>
      <c r="T404" s="234"/>
      <c r="U404" s="234"/>
      <c r="V404" s="234"/>
      <c r="W404" s="234" t="s">
        <v>663</v>
      </c>
      <c r="X404" s="234" t="s">
        <v>348</v>
      </c>
      <c r="Y404" s="235">
        <f>SUM(R9)</f>
        <v>0</v>
      </c>
      <c r="Z404" s="284" t="str">
        <f t="shared" ref="Z404:Z405" si="0">IF(ISERROR(Y404/$Y$407),"--",Y404/$Y$407)</f>
        <v>--</v>
      </c>
      <c r="AA404" s="234"/>
      <c r="AB404" s="234"/>
      <c r="AC404" s="234"/>
      <c r="AD404" s="234"/>
      <c r="AN404" s="23"/>
      <c r="AO404" s="23"/>
      <c r="BF404" s="5"/>
      <c r="BG404" s="5"/>
    </row>
    <row r="405" spans="17:59" ht="13.9" customHeight="1" x14ac:dyDescent="0.3">
      <c r="Q405" s="24"/>
      <c r="R405" s="244"/>
      <c r="S405" s="212" t="s">
        <v>641</v>
      </c>
      <c r="T405" s="234"/>
      <c r="U405" s="234"/>
      <c r="V405" s="234"/>
      <c r="W405" s="234" t="s">
        <v>663</v>
      </c>
      <c r="X405" s="234" t="s">
        <v>665</v>
      </c>
      <c r="Y405" s="235">
        <f>SUM(R11)</f>
        <v>0</v>
      </c>
      <c r="Z405" s="284" t="str">
        <f t="shared" si="0"/>
        <v>--</v>
      </c>
      <c r="AA405" s="234"/>
      <c r="AB405" s="234"/>
      <c r="AC405" s="234"/>
      <c r="AD405" s="234"/>
      <c r="AN405" s="23"/>
      <c r="AO405" s="23"/>
      <c r="BF405" s="5"/>
      <c r="BG405" s="5"/>
    </row>
    <row r="406" spans="17:59" ht="13.9" customHeight="1" x14ac:dyDescent="0.3">
      <c r="Q406" s="24"/>
      <c r="R406" s="244"/>
      <c r="S406" s="23"/>
      <c r="T406" s="234"/>
      <c r="U406" s="234"/>
      <c r="V406" s="234"/>
      <c r="W406" s="234"/>
      <c r="X406" s="234"/>
      <c r="Y406" s="235"/>
      <c r="Z406" s="284"/>
      <c r="AA406" s="234"/>
      <c r="AB406" s="234"/>
      <c r="AC406" s="234"/>
      <c r="AD406" s="234"/>
      <c r="AN406" s="23"/>
      <c r="AO406" s="23"/>
      <c r="BF406" s="5"/>
      <c r="BG406" s="5"/>
    </row>
    <row r="407" spans="17:59" ht="13.9" customHeight="1" x14ac:dyDescent="0.3">
      <c r="Q407" s="24"/>
      <c r="R407" s="244"/>
      <c r="S407" s="23" t="s">
        <v>643</v>
      </c>
      <c r="T407" s="234"/>
      <c r="U407" s="234"/>
      <c r="V407" s="234"/>
      <c r="W407" s="234"/>
      <c r="X407" s="234"/>
      <c r="Y407" s="293">
        <f>Y403</f>
        <v>0</v>
      </c>
      <c r="Z407" s="284">
        <f>SUM(Z404:Z405)</f>
        <v>0</v>
      </c>
      <c r="AA407" s="234"/>
      <c r="AB407" s="234"/>
      <c r="AC407" s="234"/>
      <c r="AD407" s="234"/>
      <c r="AN407" s="23"/>
      <c r="AO407" s="23"/>
      <c r="BF407" s="5"/>
      <c r="BG407" s="5"/>
    </row>
    <row r="408" spans="17:59" ht="13.9" customHeight="1" x14ac:dyDescent="0.3">
      <c r="Q408" s="24"/>
      <c r="R408" s="244"/>
      <c r="S408" s="103"/>
      <c r="T408" s="234"/>
      <c r="U408" s="234"/>
      <c r="V408" s="234"/>
      <c r="W408" s="234"/>
      <c r="X408" s="234"/>
      <c r="Y408" s="235"/>
      <c r="Z408" s="234"/>
      <c r="AA408" s="234"/>
      <c r="AB408" s="234"/>
      <c r="AC408" s="234"/>
      <c r="AD408" s="234"/>
      <c r="AN408" s="23"/>
      <c r="AO408" s="23"/>
      <c r="BF408" s="5"/>
      <c r="BG408" s="5"/>
    </row>
    <row r="409" spans="17:59" ht="13.9" customHeight="1" x14ac:dyDescent="0.3">
      <c r="Q409" s="24"/>
      <c r="R409" s="244"/>
      <c r="S409" s="103" t="s">
        <v>659</v>
      </c>
      <c r="T409" s="234"/>
      <c r="U409" s="234"/>
      <c r="V409" s="234"/>
      <c r="W409" s="234"/>
      <c r="X409" s="235"/>
      <c r="Y409" s="235"/>
      <c r="Z409" s="234"/>
      <c r="AA409" s="234"/>
      <c r="AB409" s="234"/>
      <c r="AC409" s="234"/>
      <c r="AD409" s="234"/>
      <c r="AN409" s="23"/>
      <c r="AO409" s="23"/>
      <c r="BF409" s="5"/>
      <c r="BG409" s="5"/>
    </row>
    <row r="410" spans="17:59" ht="13.9" customHeight="1" x14ac:dyDescent="0.3">
      <c r="Q410" s="24"/>
      <c r="R410" s="244"/>
      <c r="S410" s="103" t="s">
        <v>660</v>
      </c>
      <c r="T410" s="234"/>
      <c r="U410" s="234"/>
      <c r="V410" s="234"/>
      <c r="W410" s="234"/>
      <c r="X410" s="234"/>
      <c r="Y410" s="234" t="s">
        <v>661</v>
      </c>
      <c r="Z410" s="234"/>
      <c r="AA410" s="234"/>
      <c r="AB410" s="234"/>
      <c r="AC410" s="234"/>
      <c r="AD410" s="234"/>
      <c r="AN410" s="23"/>
      <c r="AO410" s="23"/>
      <c r="BF410" s="5"/>
      <c r="BG410" s="5"/>
    </row>
    <row r="411" spans="17:59" ht="13.9" customHeight="1" x14ac:dyDescent="0.3">
      <c r="Q411" s="24"/>
      <c r="R411" s="244"/>
      <c r="S411" s="22"/>
      <c r="T411" s="234"/>
      <c r="U411" s="234"/>
      <c r="V411" s="234"/>
      <c r="W411" s="234"/>
      <c r="X411" s="234"/>
      <c r="Y411" s="234"/>
      <c r="Z411" s="234"/>
      <c r="AA411" s="234"/>
      <c r="AB411" s="234"/>
      <c r="AC411" s="234"/>
      <c r="AD411" s="234"/>
      <c r="AN411" s="23"/>
      <c r="AO411" s="23"/>
      <c r="BF411" s="5"/>
      <c r="BG411" s="5"/>
    </row>
    <row r="412" spans="17:59" ht="13.9" customHeight="1" x14ac:dyDescent="0.3">
      <c r="Q412" s="24"/>
      <c r="R412" s="244"/>
      <c r="S412" s="103" t="s">
        <v>386</v>
      </c>
      <c r="T412" s="234"/>
      <c r="U412" s="234"/>
      <c r="V412" s="234"/>
      <c r="W412" s="234"/>
      <c r="X412" s="234"/>
      <c r="Y412" s="235"/>
      <c r="Z412" s="234"/>
      <c r="AA412" s="234"/>
      <c r="AB412" s="234"/>
      <c r="AC412" s="234"/>
      <c r="AD412" s="234"/>
      <c r="AN412" s="23"/>
      <c r="AO412" s="23"/>
      <c r="BF412" s="5"/>
      <c r="BG412" s="5"/>
    </row>
    <row r="413" spans="17:59" ht="13.9" hidden="1" customHeight="1" x14ac:dyDescent="0.3">
      <c r="Q413" s="24"/>
      <c r="R413" s="244"/>
      <c r="S413" s="22"/>
      <c r="T413" s="234"/>
      <c r="U413" s="234"/>
      <c r="V413" s="234"/>
      <c r="W413" s="234"/>
      <c r="X413" s="234"/>
      <c r="Y413" s="234"/>
      <c r="Z413" s="234"/>
      <c r="AA413" s="234"/>
      <c r="AB413" s="234"/>
      <c r="AC413" s="234"/>
      <c r="AD413" s="234"/>
      <c r="AN413" s="23"/>
      <c r="AO413" s="23"/>
      <c r="BF413" s="5"/>
      <c r="BG413" s="5"/>
    </row>
    <row r="414" spans="17:59" ht="13.9" hidden="1" customHeight="1" x14ac:dyDescent="0.3">
      <c r="Q414" s="24"/>
      <c r="R414" s="244"/>
      <c r="S414" s="22"/>
      <c r="T414" s="234"/>
      <c r="U414" s="234"/>
      <c r="V414" s="234"/>
      <c r="W414" s="234"/>
      <c r="X414" s="234"/>
      <c r="Y414" s="234"/>
      <c r="Z414" s="234"/>
      <c r="AA414" s="234"/>
      <c r="AB414" s="234"/>
      <c r="AC414" s="234"/>
      <c r="AD414" s="234"/>
      <c r="AN414" s="23"/>
      <c r="AO414" s="23"/>
      <c r="BF414" s="5"/>
      <c r="BG414" s="5"/>
    </row>
    <row r="415" spans="17:59" ht="13.9" hidden="1" customHeight="1" x14ac:dyDescent="0.3">
      <c r="Q415" s="24"/>
      <c r="R415" s="244"/>
      <c r="S415" s="22"/>
      <c r="T415" s="234"/>
      <c r="U415" s="234"/>
      <c r="V415" s="234"/>
      <c r="W415" s="234"/>
      <c r="X415" s="234"/>
      <c r="Y415" s="234"/>
      <c r="Z415" s="234"/>
      <c r="AA415" s="234"/>
      <c r="AB415" s="234"/>
      <c r="AC415" s="234"/>
      <c r="AD415" s="234"/>
      <c r="AN415" s="23"/>
      <c r="AO415" s="23"/>
      <c r="BF415" s="5"/>
      <c r="BG415" s="5"/>
    </row>
    <row r="416" spans="17:59" ht="13.9" hidden="1" customHeight="1" x14ac:dyDescent="0.3">
      <c r="Q416" s="24"/>
      <c r="R416" s="244"/>
      <c r="S416" s="22"/>
      <c r="T416" s="234"/>
      <c r="U416" s="234"/>
      <c r="V416" s="234"/>
      <c r="W416" s="234"/>
      <c r="X416" s="234"/>
      <c r="Y416" s="234"/>
      <c r="Z416" s="234"/>
      <c r="AA416" s="234"/>
      <c r="AB416" s="234"/>
      <c r="AC416" s="234"/>
      <c r="AD416" s="234"/>
      <c r="AN416" s="23"/>
      <c r="AO416" s="23"/>
      <c r="BF416" s="5"/>
      <c r="BG416" s="5"/>
    </row>
    <row r="417" spans="17:59" ht="13.9" hidden="1" customHeight="1" x14ac:dyDescent="0.3">
      <c r="Q417" s="24"/>
      <c r="R417" s="244"/>
      <c r="S417" s="22"/>
      <c r="T417" s="234"/>
      <c r="U417" s="234"/>
      <c r="V417" s="234"/>
      <c r="W417" s="234"/>
      <c r="X417" s="234"/>
      <c r="Y417" s="234"/>
      <c r="Z417" s="234"/>
      <c r="AA417" s="234"/>
      <c r="AB417" s="234"/>
      <c r="AC417" s="234"/>
      <c r="AD417" s="234"/>
      <c r="AN417" s="23"/>
      <c r="AO417" s="23"/>
      <c r="BF417" s="5"/>
      <c r="BG417" s="5"/>
    </row>
    <row r="418" spans="17:59" ht="13.9" hidden="1" customHeight="1" x14ac:dyDescent="0.3">
      <c r="Q418" s="24"/>
      <c r="R418" s="244"/>
      <c r="S418" s="22"/>
      <c r="T418" s="234"/>
      <c r="U418" s="234"/>
      <c r="V418" s="234"/>
      <c r="W418" s="234"/>
      <c r="X418" s="234"/>
      <c r="Y418" s="234"/>
      <c r="Z418" s="234"/>
      <c r="AA418" s="234"/>
      <c r="AB418" s="234"/>
      <c r="AC418" s="234"/>
      <c r="AD418" s="234"/>
      <c r="AN418" s="23"/>
      <c r="AO418" s="23"/>
      <c r="BF418" s="5"/>
      <c r="BG418" s="5"/>
    </row>
    <row r="419" spans="17:59" ht="13.9" hidden="1" customHeight="1" x14ac:dyDescent="0.3">
      <c r="Q419" s="24"/>
      <c r="R419" s="244"/>
      <c r="S419" s="22"/>
      <c r="T419" s="234"/>
      <c r="U419" s="234"/>
      <c r="V419" s="234"/>
      <c r="W419" s="234"/>
      <c r="X419" s="234"/>
      <c r="Y419" s="234"/>
      <c r="Z419" s="234"/>
      <c r="AA419" s="234"/>
      <c r="AB419" s="234"/>
      <c r="AC419" s="234"/>
      <c r="AD419" s="234"/>
      <c r="AN419" s="23"/>
      <c r="AO419" s="23"/>
      <c r="BF419" s="5"/>
      <c r="BG419" s="5"/>
    </row>
    <row r="420" spans="17:59" ht="13.9" hidden="1" customHeight="1" x14ac:dyDescent="0.3">
      <c r="Q420" s="24"/>
      <c r="R420" s="244"/>
      <c r="S420" s="22"/>
      <c r="T420" s="234"/>
      <c r="U420" s="234"/>
      <c r="V420" s="234"/>
      <c r="W420" s="234"/>
      <c r="X420" s="234"/>
      <c r="Y420" s="234"/>
      <c r="Z420" s="234"/>
      <c r="AA420" s="234"/>
      <c r="AB420" s="234"/>
      <c r="AC420" s="234"/>
      <c r="AD420" s="234"/>
      <c r="AN420" s="23"/>
      <c r="AO420" s="23"/>
      <c r="BF420" s="5"/>
      <c r="BG420" s="5"/>
    </row>
    <row r="421" spans="17:59" ht="13.9" hidden="1" customHeight="1" x14ac:dyDescent="0.3">
      <c r="Q421" s="24"/>
      <c r="R421" s="244"/>
      <c r="S421" s="22"/>
      <c r="T421" s="234"/>
      <c r="U421" s="234"/>
      <c r="V421" s="234"/>
      <c r="W421" s="234"/>
      <c r="X421" s="234"/>
      <c r="Y421" s="234"/>
      <c r="Z421" s="234"/>
      <c r="AA421" s="234"/>
      <c r="AB421" s="234"/>
      <c r="AC421" s="234"/>
      <c r="AD421" s="234"/>
      <c r="AN421" s="23"/>
      <c r="AO421" s="23"/>
      <c r="BF421" s="5"/>
      <c r="BG421" s="5"/>
    </row>
    <row r="422" spans="17:59" ht="13.9" hidden="1" customHeight="1" x14ac:dyDescent="0.3">
      <c r="Q422" s="24"/>
      <c r="R422" s="244"/>
      <c r="S422" s="22"/>
      <c r="T422" s="234"/>
      <c r="U422" s="234"/>
      <c r="V422" s="234"/>
      <c r="W422" s="234"/>
      <c r="X422" s="234"/>
      <c r="Y422" s="234"/>
      <c r="Z422" s="234"/>
      <c r="AA422" s="234"/>
      <c r="AB422" s="234"/>
      <c r="AC422" s="234"/>
      <c r="AD422" s="234"/>
      <c r="AN422" s="23"/>
      <c r="AO422" s="23"/>
      <c r="BF422" s="5"/>
      <c r="BG422" s="5"/>
    </row>
    <row r="423" spans="17:59" ht="13.9" hidden="1" customHeight="1" x14ac:dyDescent="0.3">
      <c r="Q423" s="24"/>
      <c r="R423" s="244"/>
      <c r="S423" s="22"/>
      <c r="T423" s="234"/>
      <c r="U423" s="234"/>
      <c r="V423" s="234"/>
      <c r="W423" s="234"/>
      <c r="X423" s="234"/>
      <c r="Y423" s="234"/>
      <c r="Z423" s="234"/>
      <c r="AA423" s="234"/>
      <c r="AB423" s="234"/>
      <c r="AC423" s="234"/>
      <c r="AD423" s="234"/>
      <c r="AN423" s="23"/>
      <c r="AO423" s="23"/>
      <c r="BF423" s="5"/>
      <c r="BG423" s="5"/>
    </row>
    <row r="424" spans="17:59" ht="13.9" hidden="1" customHeight="1" x14ac:dyDescent="0.3">
      <c r="Q424" s="24"/>
      <c r="R424" s="244"/>
      <c r="S424" s="22"/>
      <c r="T424" s="234"/>
      <c r="U424" s="234"/>
      <c r="V424" s="234"/>
      <c r="W424" s="234"/>
      <c r="X424" s="234"/>
      <c r="Y424" s="234"/>
      <c r="Z424" s="234"/>
      <c r="AA424" s="234"/>
      <c r="AB424" s="234"/>
      <c r="AC424" s="234"/>
      <c r="AD424" s="234"/>
      <c r="AN424" s="23"/>
      <c r="AO424" s="23"/>
      <c r="BF424" s="5"/>
      <c r="BG424" s="5"/>
    </row>
    <row r="425" spans="17:59" ht="13.9" hidden="1" customHeight="1" x14ac:dyDescent="0.3">
      <c r="Q425" s="24"/>
      <c r="R425" s="244"/>
      <c r="S425" s="22"/>
      <c r="T425" s="234"/>
      <c r="U425" s="234"/>
      <c r="V425" s="234"/>
      <c r="W425" s="234"/>
      <c r="X425" s="234"/>
      <c r="Y425" s="234"/>
      <c r="Z425" s="234"/>
      <c r="AA425" s="234"/>
      <c r="AB425" s="234"/>
      <c r="AC425" s="234"/>
      <c r="AD425" s="234"/>
      <c r="AN425" s="23"/>
      <c r="AO425" s="23"/>
      <c r="BF425" s="5"/>
      <c r="BG425" s="5"/>
    </row>
    <row r="426" spans="17:59" ht="13.9" hidden="1" customHeight="1" x14ac:dyDescent="0.3">
      <c r="Q426" s="24"/>
      <c r="R426" s="244"/>
      <c r="S426" s="22"/>
      <c r="T426" s="234"/>
      <c r="U426" s="234"/>
      <c r="V426" s="234"/>
      <c r="W426" s="234"/>
      <c r="X426" s="234"/>
      <c r="Y426" s="234"/>
      <c r="Z426" s="234"/>
      <c r="AA426" s="234"/>
      <c r="AB426" s="234"/>
      <c r="AC426" s="234"/>
      <c r="AD426" s="234"/>
      <c r="AN426" s="23"/>
      <c r="AO426" s="23"/>
      <c r="BF426" s="5"/>
      <c r="BG426" s="5"/>
    </row>
    <row r="427" spans="17:59" ht="13.9" hidden="1" customHeight="1" x14ac:dyDescent="0.3">
      <c r="Q427" s="24"/>
      <c r="R427" s="244"/>
      <c r="S427" s="22"/>
      <c r="T427" s="234"/>
      <c r="U427" s="234"/>
      <c r="V427" s="234"/>
      <c r="W427" s="234"/>
      <c r="X427" s="234"/>
      <c r="Y427" s="234"/>
      <c r="Z427" s="234"/>
      <c r="AA427" s="234"/>
      <c r="AB427" s="234"/>
      <c r="AC427" s="234"/>
      <c r="AD427" s="234"/>
      <c r="AN427" s="23"/>
      <c r="AO427" s="23"/>
      <c r="BF427" s="5"/>
      <c r="BG427" s="5"/>
    </row>
    <row r="428" spans="17:59" ht="13.9" hidden="1" customHeight="1" x14ac:dyDescent="0.3">
      <c r="Q428" s="24"/>
      <c r="R428" s="244"/>
      <c r="S428" s="22"/>
      <c r="T428" s="234"/>
      <c r="U428" s="234"/>
      <c r="V428" s="234"/>
      <c r="W428" s="234"/>
      <c r="X428" s="234"/>
      <c r="Y428" s="234"/>
      <c r="Z428" s="234"/>
      <c r="AA428" s="234"/>
      <c r="AB428" s="234"/>
      <c r="AC428" s="234"/>
      <c r="AD428" s="234"/>
      <c r="AN428" s="23"/>
      <c r="AO428" s="23"/>
      <c r="BF428" s="5"/>
      <c r="BG428" s="5"/>
    </row>
    <row r="429" spans="17:59" ht="13.9" hidden="1" customHeight="1" x14ac:dyDescent="0.3">
      <c r="Q429" s="24"/>
      <c r="R429" s="244"/>
      <c r="S429" s="22"/>
      <c r="T429" s="234"/>
      <c r="U429" s="234"/>
      <c r="V429" s="234"/>
      <c r="W429" s="234"/>
      <c r="X429" s="234"/>
      <c r="Y429" s="234"/>
      <c r="Z429" s="234"/>
      <c r="AA429" s="234"/>
      <c r="AB429" s="234"/>
      <c r="AC429" s="234"/>
      <c r="AD429" s="234"/>
      <c r="AN429" s="23"/>
      <c r="AO429" s="23"/>
      <c r="BF429" s="5"/>
      <c r="BG429" s="5"/>
    </row>
    <row r="430" spans="17:59" ht="13.9" hidden="1" customHeight="1" x14ac:dyDescent="0.3">
      <c r="Q430" s="24"/>
      <c r="R430" s="244"/>
      <c r="S430" s="22"/>
      <c r="T430" s="234"/>
      <c r="U430" s="234"/>
      <c r="V430" s="234"/>
      <c r="W430" s="234"/>
      <c r="X430" s="234"/>
      <c r="Y430" s="234"/>
      <c r="Z430" s="234"/>
      <c r="AA430" s="234"/>
      <c r="AB430" s="234"/>
      <c r="AC430" s="234"/>
      <c r="AD430" s="234"/>
      <c r="AN430" s="23"/>
      <c r="AO430" s="23"/>
      <c r="BF430" s="5"/>
      <c r="BG430" s="5"/>
    </row>
    <row r="431" spans="17:59" ht="13.9" hidden="1" customHeight="1" x14ac:dyDescent="0.3">
      <c r="Q431" s="24"/>
      <c r="R431" s="244"/>
      <c r="S431" s="22"/>
      <c r="T431" s="234"/>
      <c r="U431" s="234"/>
      <c r="V431" s="234"/>
      <c r="W431" s="234"/>
      <c r="X431" s="234"/>
      <c r="Y431" s="234"/>
      <c r="Z431" s="234"/>
      <c r="AA431" s="234"/>
      <c r="AB431" s="234"/>
      <c r="AC431" s="234"/>
      <c r="AD431" s="234"/>
      <c r="AN431" s="23"/>
      <c r="AO431" s="23"/>
      <c r="BF431" s="5"/>
      <c r="BG431" s="5"/>
    </row>
    <row r="432" spans="17:59" ht="13.9" hidden="1" customHeight="1" x14ac:dyDescent="0.3">
      <c r="Q432" s="24"/>
      <c r="R432" s="244"/>
      <c r="S432" s="22"/>
      <c r="T432" s="234"/>
      <c r="U432" s="234"/>
      <c r="V432" s="234"/>
      <c r="W432" s="234"/>
      <c r="X432" s="234"/>
      <c r="Y432" s="234"/>
      <c r="Z432" s="234"/>
      <c r="AA432" s="234"/>
      <c r="AB432" s="234"/>
      <c r="AC432" s="234"/>
      <c r="AD432" s="234"/>
      <c r="AN432" s="23"/>
      <c r="AO432" s="23"/>
      <c r="BF432" s="5"/>
      <c r="BG432" s="5"/>
    </row>
    <row r="433" spans="17:59" ht="13.9" hidden="1" customHeight="1" x14ac:dyDescent="0.3">
      <c r="Q433" s="24"/>
      <c r="R433" s="244"/>
      <c r="S433" s="22"/>
      <c r="T433" s="234"/>
      <c r="U433" s="234"/>
      <c r="V433" s="234"/>
      <c r="W433" s="234"/>
      <c r="X433" s="234"/>
      <c r="Y433" s="234"/>
      <c r="Z433" s="234"/>
      <c r="AA433" s="234"/>
      <c r="AB433" s="234"/>
      <c r="AC433" s="234"/>
      <c r="AD433" s="234"/>
      <c r="AN433" s="23"/>
      <c r="AO433" s="23"/>
      <c r="BF433" s="5"/>
      <c r="BG433" s="5"/>
    </row>
    <row r="434" spans="17:59" ht="13.9" hidden="1" customHeight="1" x14ac:dyDescent="0.3">
      <c r="Q434" s="24"/>
      <c r="R434" s="244"/>
      <c r="S434" s="22"/>
      <c r="T434" s="234"/>
      <c r="U434" s="234"/>
      <c r="V434" s="234"/>
      <c r="W434" s="234"/>
      <c r="X434" s="234"/>
      <c r="Y434" s="234"/>
      <c r="Z434" s="234"/>
      <c r="AA434" s="234"/>
      <c r="AB434" s="234"/>
      <c r="AC434" s="234"/>
      <c r="AD434" s="234"/>
      <c r="AN434" s="23"/>
      <c r="AO434" s="23"/>
      <c r="BF434" s="5"/>
      <c r="BG434" s="5"/>
    </row>
    <row r="435" spans="17:59" ht="13.9" hidden="1" customHeight="1" x14ac:dyDescent="0.3">
      <c r="Q435" s="24"/>
      <c r="R435" s="244"/>
      <c r="S435" s="22"/>
      <c r="T435" s="234"/>
      <c r="U435" s="234"/>
      <c r="V435" s="234"/>
      <c r="W435" s="234"/>
      <c r="X435" s="234"/>
      <c r="Y435" s="234"/>
      <c r="Z435" s="234"/>
      <c r="AA435" s="234"/>
      <c r="AB435" s="234"/>
      <c r="AC435" s="234"/>
      <c r="AD435" s="234"/>
      <c r="AN435" s="23"/>
      <c r="AO435" s="23"/>
      <c r="BF435" s="5"/>
      <c r="BG435" s="5"/>
    </row>
    <row r="436" spans="17:59" ht="13.9" hidden="1" customHeight="1" x14ac:dyDescent="0.3">
      <c r="Q436" s="24"/>
      <c r="R436" s="244"/>
      <c r="S436" s="22"/>
      <c r="T436" s="234"/>
      <c r="U436" s="234"/>
      <c r="V436" s="234"/>
      <c r="W436" s="234"/>
      <c r="X436" s="234"/>
      <c r="Y436" s="234"/>
      <c r="Z436" s="234"/>
      <c r="AA436" s="234"/>
      <c r="AB436" s="234"/>
      <c r="AC436" s="234"/>
      <c r="AD436" s="234"/>
      <c r="AN436" s="23"/>
      <c r="AO436" s="23"/>
      <c r="BF436" s="5"/>
      <c r="BG436" s="5"/>
    </row>
    <row r="437" spans="17:59" ht="13.9" hidden="1" customHeight="1" x14ac:dyDescent="0.3">
      <c r="Q437" s="24"/>
      <c r="R437" s="244"/>
      <c r="S437" s="22"/>
      <c r="T437" s="234"/>
      <c r="U437" s="234"/>
      <c r="V437" s="234"/>
      <c r="W437" s="234"/>
      <c r="X437" s="234"/>
      <c r="Y437" s="234"/>
      <c r="Z437" s="234"/>
      <c r="AA437" s="234"/>
      <c r="AB437" s="234"/>
      <c r="AC437" s="234"/>
      <c r="AD437" s="234"/>
      <c r="AN437" s="23"/>
      <c r="AO437" s="23"/>
      <c r="BF437" s="5"/>
      <c r="BG437" s="5"/>
    </row>
    <row r="438" spans="17:59" ht="13.9" hidden="1" customHeight="1" x14ac:dyDescent="0.3">
      <c r="Q438" s="24"/>
      <c r="R438" s="244"/>
      <c r="S438" s="22"/>
      <c r="T438" s="234"/>
      <c r="U438" s="234"/>
      <c r="V438" s="234"/>
      <c r="W438" s="234"/>
      <c r="X438" s="234"/>
      <c r="Y438" s="234"/>
      <c r="Z438" s="234"/>
      <c r="AA438" s="234"/>
      <c r="AB438" s="234"/>
      <c r="AC438" s="234"/>
      <c r="AD438" s="234"/>
      <c r="AN438" s="23"/>
      <c r="AO438" s="23"/>
      <c r="BF438" s="5"/>
      <c r="BG438" s="5"/>
    </row>
    <row r="439" spans="17:59" ht="13.9" hidden="1" customHeight="1" x14ac:dyDescent="0.3">
      <c r="Q439" s="24"/>
      <c r="R439" s="244"/>
      <c r="S439" s="22"/>
      <c r="T439" s="234"/>
      <c r="U439" s="234"/>
      <c r="V439" s="234"/>
      <c r="W439" s="234"/>
      <c r="X439" s="234"/>
      <c r="Y439" s="234"/>
      <c r="Z439" s="234"/>
      <c r="AA439" s="234"/>
      <c r="AB439" s="234"/>
      <c r="AC439" s="234"/>
      <c r="AD439" s="234"/>
      <c r="AN439" s="23"/>
      <c r="AO439" s="23"/>
      <c r="BF439" s="5"/>
      <c r="BG439" s="5"/>
    </row>
    <row r="440" spans="17:59" ht="13.9" hidden="1" customHeight="1" x14ac:dyDescent="0.3">
      <c r="Q440" s="24"/>
      <c r="R440" s="244"/>
      <c r="S440" s="22"/>
      <c r="T440" s="234"/>
      <c r="U440" s="234"/>
      <c r="V440" s="234"/>
      <c r="W440" s="234"/>
      <c r="X440" s="234"/>
      <c r="Y440" s="234"/>
      <c r="Z440" s="234"/>
      <c r="AA440" s="234"/>
      <c r="AB440" s="234"/>
      <c r="AC440" s="234"/>
      <c r="AD440" s="234"/>
      <c r="AN440" s="23"/>
      <c r="AO440" s="23"/>
      <c r="BF440" s="5"/>
      <c r="BG440" s="5"/>
    </row>
    <row r="441" spans="17:59" ht="13.9" hidden="1" customHeight="1" x14ac:dyDescent="0.3">
      <c r="Q441" s="24"/>
      <c r="R441" s="244"/>
      <c r="S441" s="22"/>
      <c r="T441" s="234"/>
      <c r="U441" s="234"/>
      <c r="V441" s="234"/>
      <c r="W441" s="234"/>
      <c r="X441" s="234"/>
      <c r="Y441" s="234"/>
      <c r="Z441" s="234"/>
      <c r="AA441" s="234"/>
      <c r="AB441" s="234"/>
      <c r="AC441" s="234"/>
      <c r="AD441" s="234"/>
      <c r="AN441" s="23"/>
      <c r="AO441" s="23"/>
      <c r="BF441" s="5"/>
      <c r="BG441" s="5"/>
    </row>
    <row r="442" spans="17:59" ht="13.9" hidden="1" customHeight="1" x14ac:dyDescent="0.3">
      <c r="Q442" s="24"/>
      <c r="R442" s="244"/>
      <c r="S442" s="22"/>
      <c r="T442" s="234"/>
      <c r="U442" s="234"/>
      <c r="V442" s="234"/>
      <c r="W442" s="234"/>
      <c r="X442" s="234"/>
      <c r="Y442" s="234"/>
      <c r="Z442" s="234"/>
      <c r="AA442" s="234"/>
      <c r="AB442" s="234"/>
      <c r="AC442" s="234"/>
      <c r="AD442" s="234"/>
      <c r="AN442" s="23"/>
      <c r="AO442" s="23"/>
      <c r="BF442" s="5"/>
      <c r="BG442" s="5"/>
    </row>
    <row r="443" spans="17:59" ht="13.9" hidden="1" customHeight="1" x14ac:dyDescent="0.3">
      <c r="Q443" s="24"/>
      <c r="R443" s="244"/>
      <c r="S443" s="22"/>
      <c r="T443" s="234"/>
      <c r="U443" s="234"/>
      <c r="V443" s="234"/>
      <c r="W443" s="234"/>
      <c r="X443" s="234"/>
      <c r="Y443" s="234"/>
      <c r="Z443" s="234"/>
      <c r="AA443" s="234"/>
      <c r="AB443" s="234"/>
      <c r="AC443" s="234"/>
      <c r="AD443" s="234"/>
      <c r="AN443" s="23"/>
      <c r="AO443" s="23"/>
      <c r="BF443" s="5"/>
      <c r="BG443" s="5"/>
    </row>
    <row r="444" spans="17:59" ht="13.9" hidden="1" customHeight="1" x14ac:dyDescent="0.3">
      <c r="Q444" s="24"/>
      <c r="R444" s="244"/>
      <c r="S444" s="22"/>
      <c r="T444" s="234"/>
      <c r="U444" s="234"/>
      <c r="V444" s="234"/>
      <c r="W444" s="234"/>
      <c r="X444" s="234"/>
      <c r="Y444" s="234"/>
      <c r="Z444" s="234"/>
      <c r="AA444" s="234"/>
      <c r="AB444" s="234"/>
      <c r="AC444" s="234"/>
      <c r="AD444" s="234"/>
      <c r="AN444" s="23"/>
      <c r="AO444" s="23"/>
      <c r="BF444" s="5"/>
      <c r="BG444" s="5"/>
    </row>
    <row r="445" spans="17:59" ht="13.9" hidden="1" customHeight="1" x14ac:dyDescent="0.3">
      <c r="Q445" s="24"/>
      <c r="R445" s="244"/>
      <c r="S445" s="22"/>
      <c r="T445" s="234"/>
      <c r="U445" s="234"/>
      <c r="V445" s="234"/>
      <c r="W445" s="234"/>
      <c r="X445" s="234"/>
      <c r="Y445" s="234"/>
      <c r="Z445" s="234"/>
      <c r="AA445" s="234"/>
      <c r="AB445" s="234"/>
      <c r="AC445" s="234"/>
      <c r="AD445" s="234"/>
      <c r="AN445" s="23"/>
      <c r="AO445" s="23"/>
      <c r="BF445" s="5"/>
      <c r="BG445" s="5"/>
    </row>
    <row r="446" spans="17:59" ht="13.9" hidden="1" customHeight="1" x14ac:dyDescent="0.3">
      <c r="Q446" s="24"/>
      <c r="R446" s="244"/>
      <c r="S446" s="22"/>
      <c r="T446" s="234"/>
      <c r="U446" s="234"/>
      <c r="V446" s="234"/>
      <c r="W446" s="234"/>
      <c r="X446" s="234"/>
      <c r="Y446" s="234"/>
      <c r="Z446" s="234"/>
      <c r="AA446" s="234"/>
      <c r="AB446" s="234"/>
      <c r="AC446" s="234"/>
      <c r="AD446" s="234"/>
      <c r="AN446" s="23"/>
      <c r="AO446" s="23"/>
      <c r="BF446" s="5"/>
      <c r="BG446" s="5"/>
    </row>
    <row r="447" spans="17:59" ht="13.9" hidden="1" customHeight="1" x14ac:dyDescent="0.3">
      <c r="Q447" s="24"/>
      <c r="R447" s="244"/>
      <c r="S447" s="22"/>
      <c r="T447" s="234"/>
      <c r="U447" s="234"/>
      <c r="V447" s="234"/>
      <c r="W447" s="234"/>
      <c r="X447" s="234"/>
      <c r="Y447" s="234"/>
      <c r="Z447" s="234"/>
      <c r="AA447" s="234"/>
      <c r="AB447" s="234"/>
      <c r="AC447" s="234"/>
      <c r="AD447" s="234"/>
      <c r="AN447" s="23"/>
      <c r="AO447" s="23"/>
      <c r="BF447" s="5"/>
      <c r="BG447" s="5"/>
    </row>
    <row r="448" spans="17:59" ht="13.9" hidden="1" customHeight="1" x14ac:dyDescent="0.3">
      <c r="Q448" s="24"/>
      <c r="R448" s="244"/>
      <c r="S448" s="22"/>
      <c r="T448" s="234"/>
      <c r="U448" s="234"/>
      <c r="V448" s="234"/>
      <c r="W448" s="234"/>
      <c r="X448" s="234"/>
      <c r="Y448" s="234"/>
      <c r="Z448" s="234"/>
      <c r="AA448" s="234"/>
      <c r="AB448" s="234"/>
      <c r="AC448" s="234"/>
      <c r="AD448" s="234"/>
      <c r="AN448" s="23"/>
      <c r="AO448" s="23"/>
      <c r="BF448" s="5"/>
      <c r="BG448" s="5"/>
    </row>
    <row r="449" spans="17:59" ht="13.9" hidden="1" customHeight="1" x14ac:dyDescent="0.3">
      <c r="Q449" s="24"/>
      <c r="R449" s="244"/>
      <c r="S449" s="22"/>
      <c r="T449" s="234"/>
      <c r="U449" s="234"/>
      <c r="V449" s="234"/>
      <c r="W449" s="234"/>
      <c r="X449" s="234"/>
      <c r="Y449" s="234"/>
      <c r="Z449" s="234"/>
      <c r="AA449" s="234"/>
      <c r="AB449" s="234"/>
      <c r="AC449" s="234"/>
      <c r="AD449" s="234"/>
      <c r="AN449" s="23"/>
      <c r="AO449" s="23"/>
      <c r="BF449" s="5"/>
      <c r="BG449" s="5"/>
    </row>
    <row r="450" spans="17:59" ht="13.9" hidden="1" customHeight="1" x14ac:dyDescent="0.3">
      <c r="Q450" s="24"/>
      <c r="R450" s="244"/>
      <c r="S450" s="22"/>
      <c r="T450" s="234"/>
      <c r="U450" s="234"/>
      <c r="V450" s="234"/>
      <c r="W450" s="234"/>
      <c r="X450" s="234"/>
      <c r="Y450" s="234"/>
      <c r="Z450" s="234"/>
      <c r="AA450" s="234"/>
      <c r="AB450" s="234"/>
      <c r="AC450" s="234"/>
      <c r="AD450" s="234"/>
      <c r="AN450" s="23"/>
      <c r="AO450" s="23"/>
      <c r="BF450" s="5"/>
      <c r="BG450" s="5"/>
    </row>
    <row r="451" spans="17:59" ht="13.9" hidden="1" customHeight="1" x14ac:dyDescent="0.3">
      <c r="Q451" s="24"/>
      <c r="R451" s="244"/>
      <c r="S451" s="22"/>
      <c r="T451" s="234"/>
      <c r="U451" s="234"/>
      <c r="V451" s="234"/>
      <c r="W451" s="234"/>
      <c r="X451" s="234"/>
      <c r="Y451" s="234"/>
      <c r="Z451" s="234"/>
      <c r="AA451" s="234"/>
      <c r="AB451" s="234"/>
      <c r="AC451" s="234"/>
      <c r="AD451" s="234"/>
      <c r="AN451" s="23"/>
      <c r="AO451" s="23"/>
      <c r="BF451" s="5"/>
      <c r="BG451" s="5"/>
    </row>
    <row r="452" spans="17:59" ht="13.9" hidden="1" customHeight="1" x14ac:dyDescent="0.3">
      <c r="Q452" s="24"/>
      <c r="R452" s="244"/>
      <c r="S452" s="22"/>
      <c r="T452" s="234"/>
      <c r="U452" s="234"/>
      <c r="V452" s="234"/>
      <c r="W452" s="234"/>
      <c r="X452" s="234"/>
      <c r="Y452" s="234"/>
      <c r="Z452" s="234"/>
      <c r="AA452" s="234"/>
      <c r="AB452" s="234"/>
      <c r="AC452" s="234"/>
      <c r="AD452" s="234"/>
      <c r="AN452" s="23"/>
      <c r="AO452" s="23"/>
      <c r="BF452" s="5"/>
      <c r="BG452" s="5"/>
    </row>
    <row r="453" spans="17:59" ht="13.9" hidden="1" customHeight="1" x14ac:dyDescent="0.3">
      <c r="Q453" s="24"/>
      <c r="R453" s="244"/>
      <c r="S453" s="22"/>
      <c r="T453" s="234"/>
      <c r="U453" s="234"/>
      <c r="V453" s="234"/>
      <c r="W453" s="234"/>
      <c r="X453" s="234"/>
      <c r="Y453" s="234"/>
      <c r="Z453" s="234"/>
      <c r="AA453" s="234"/>
      <c r="AB453" s="234"/>
      <c r="AC453" s="234"/>
      <c r="AD453" s="234"/>
      <c r="AN453" s="23"/>
      <c r="AO453" s="23"/>
      <c r="BF453" s="5"/>
      <c r="BG453" s="5"/>
    </row>
    <row r="454" spans="17:59" ht="13.9" hidden="1" customHeight="1" x14ac:dyDescent="0.3">
      <c r="Q454" s="24"/>
      <c r="R454" s="244"/>
      <c r="S454" s="22"/>
      <c r="T454" s="234"/>
      <c r="U454" s="234"/>
      <c r="V454" s="234"/>
      <c r="W454" s="234"/>
      <c r="X454" s="234"/>
      <c r="Y454" s="234"/>
      <c r="Z454" s="234"/>
      <c r="AA454" s="234"/>
      <c r="AB454" s="234"/>
      <c r="AC454" s="234"/>
      <c r="AD454" s="234"/>
      <c r="AN454" s="23"/>
      <c r="AO454" s="23"/>
      <c r="BF454" s="5"/>
      <c r="BG454" s="5"/>
    </row>
    <row r="455" spans="17:59" ht="13.9" hidden="1" customHeight="1" x14ac:dyDescent="0.3">
      <c r="Q455" s="24"/>
      <c r="R455" s="244"/>
      <c r="S455" s="22"/>
      <c r="T455" s="234"/>
      <c r="U455" s="234"/>
      <c r="V455" s="234"/>
      <c r="W455" s="234"/>
      <c r="X455" s="234"/>
      <c r="Y455" s="234"/>
      <c r="Z455" s="234"/>
      <c r="AA455" s="234"/>
      <c r="AB455" s="234"/>
      <c r="AC455" s="234"/>
      <c r="AD455" s="234"/>
      <c r="AN455" s="23"/>
      <c r="AO455" s="23"/>
      <c r="BF455" s="5"/>
      <c r="BG455" s="5"/>
    </row>
    <row r="456" spans="17:59" ht="13.9" hidden="1" customHeight="1" x14ac:dyDescent="0.3">
      <c r="Q456" s="24"/>
      <c r="R456" s="244"/>
      <c r="S456" s="22"/>
      <c r="T456" s="234"/>
      <c r="U456" s="234"/>
      <c r="V456" s="234"/>
      <c r="W456" s="234"/>
      <c r="X456" s="234"/>
      <c r="Y456" s="234"/>
      <c r="Z456" s="234"/>
      <c r="AA456" s="234"/>
      <c r="AB456" s="234"/>
      <c r="AC456" s="234"/>
      <c r="AD456" s="234"/>
      <c r="AN456" s="23"/>
      <c r="AO456" s="23"/>
      <c r="BF456" s="5"/>
      <c r="BG456" s="5"/>
    </row>
    <row r="457" spans="17:59" ht="13.9" hidden="1" customHeight="1" x14ac:dyDescent="0.3">
      <c r="Q457" s="24"/>
      <c r="R457" s="244"/>
      <c r="S457" s="22"/>
      <c r="T457" s="234"/>
      <c r="U457" s="234"/>
      <c r="V457" s="234"/>
      <c r="W457" s="234"/>
      <c r="X457" s="234"/>
      <c r="Y457" s="234"/>
      <c r="Z457" s="234"/>
      <c r="AA457" s="234"/>
      <c r="AB457" s="234"/>
      <c r="AC457" s="234"/>
      <c r="AD457" s="234"/>
      <c r="AN457" s="23"/>
      <c r="AO457" s="23"/>
      <c r="BF457" s="5"/>
      <c r="BG457" s="5"/>
    </row>
    <row r="458" spans="17:59" ht="13.9" hidden="1" customHeight="1" x14ac:dyDescent="0.3">
      <c r="Q458" s="24"/>
      <c r="R458" s="244"/>
      <c r="S458" s="22"/>
      <c r="T458" s="234"/>
      <c r="U458" s="234"/>
      <c r="V458" s="234"/>
      <c r="W458" s="234"/>
      <c r="X458" s="234"/>
      <c r="Y458" s="234"/>
      <c r="Z458" s="234"/>
      <c r="AA458" s="234"/>
      <c r="AB458" s="234"/>
      <c r="AC458" s="234"/>
      <c r="AD458" s="234"/>
      <c r="AN458" s="23"/>
      <c r="AO458" s="23"/>
      <c r="BF458" s="5"/>
      <c r="BG458" s="5"/>
    </row>
    <row r="459" spans="17:59" ht="13.9" hidden="1" customHeight="1" x14ac:dyDescent="0.3">
      <c r="Q459" s="24"/>
      <c r="R459" s="244"/>
      <c r="S459" s="22"/>
      <c r="T459" s="234"/>
      <c r="U459" s="234"/>
      <c r="V459" s="234"/>
      <c r="W459" s="234"/>
      <c r="X459" s="234"/>
      <c r="Y459" s="234"/>
      <c r="Z459" s="234"/>
      <c r="AA459" s="234"/>
      <c r="AB459" s="234"/>
      <c r="AC459" s="234"/>
      <c r="AD459" s="234"/>
      <c r="AN459" s="23"/>
      <c r="AO459" s="23"/>
      <c r="BF459" s="5"/>
      <c r="BG459" s="5"/>
    </row>
    <row r="460" spans="17:59" ht="13.9" hidden="1" customHeight="1" x14ac:dyDescent="0.3">
      <c r="Q460" s="24"/>
      <c r="R460" s="244"/>
      <c r="S460" s="22"/>
      <c r="T460" s="234"/>
      <c r="U460" s="234"/>
      <c r="V460" s="234"/>
      <c r="W460" s="234"/>
      <c r="X460" s="234"/>
      <c r="Y460" s="234"/>
      <c r="Z460" s="234"/>
      <c r="AA460" s="234"/>
      <c r="AB460" s="234"/>
      <c r="AC460" s="234"/>
      <c r="AD460" s="234"/>
      <c r="AN460" s="23"/>
      <c r="AO460" s="23"/>
      <c r="BF460" s="5"/>
      <c r="BG460" s="5"/>
    </row>
    <row r="461" spans="17:59" ht="13.9" hidden="1" customHeight="1" x14ac:dyDescent="0.3">
      <c r="Q461" s="24"/>
      <c r="R461" s="244"/>
      <c r="S461" s="22"/>
      <c r="T461" s="234"/>
      <c r="U461" s="234"/>
      <c r="V461" s="234"/>
      <c r="W461" s="234"/>
      <c r="X461" s="234"/>
      <c r="Y461" s="234"/>
      <c r="Z461" s="234"/>
      <c r="AA461" s="234"/>
      <c r="AB461" s="234"/>
      <c r="AC461" s="234"/>
      <c r="AD461" s="234"/>
      <c r="AN461" s="23"/>
      <c r="AO461" s="23"/>
      <c r="BF461" s="5"/>
      <c r="BG461" s="5"/>
    </row>
    <row r="462" spans="17:59" ht="13.9" hidden="1" customHeight="1" x14ac:dyDescent="0.3">
      <c r="Q462" s="24"/>
      <c r="R462" s="244"/>
      <c r="S462" s="22"/>
      <c r="T462" s="234"/>
      <c r="U462" s="234"/>
      <c r="V462" s="234"/>
      <c r="W462" s="234"/>
      <c r="X462" s="234"/>
      <c r="Y462" s="234"/>
      <c r="Z462" s="234"/>
      <c r="AA462" s="234"/>
      <c r="AB462" s="234"/>
      <c r="AC462" s="234"/>
      <c r="AD462" s="234"/>
      <c r="AN462" s="23"/>
      <c r="AO462" s="23"/>
      <c r="BF462" s="5"/>
      <c r="BG462" s="5"/>
    </row>
    <row r="463" spans="17:59" ht="13.9" hidden="1" customHeight="1" x14ac:dyDescent="0.3">
      <c r="Q463" s="24"/>
      <c r="R463" s="244"/>
      <c r="S463" s="22"/>
      <c r="T463" s="234"/>
      <c r="U463" s="234"/>
      <c r="V463" s="234"/>
      <c r="W463" s="234"/>
      <c r="X463" s="234"/>
      <c r="Y463" s="234"/>
      <c r="Z463" s="234"/>
      <c r="AA463" s="234"/>
      <c r="AB463" s="234"/>
      <c r="AC463" s="234"/>
      <c r="AD463" s="234"/>
      <c r="AN463" s="23"/>
      <c r="AO463" s="23"/>
      <c r="BF463" s="5"/>
      <c r="BG463" s="5"/>
    </row>
    <row r="464" spans="17:59" ht="13.9" hidden="1" customHeight="1" x14ac:dyDescent="0.3">
      <c r="Q464" s="24"/>
      <c r="R464" s="244"/>
      <c r="S464" s="22"/>
      <c r="T464" s="234"/>
      <c r="U464" s="234"/>
      <c r="V464" s="234"/>
      <c r="W464" s="234"/>
      <c r="X464" s="234"/>
      <c r="Y464" s="234"/>
      <c r="Z464" s="234"/>
      <c r="AA464" s="234"/>
      <c r="AB464" s="234"/>
      <c r="AC464" s="234"/>
      <c r="AD464" s="234"/>
      <c r="AN464" s="23"/>
      <c r="AO464" s="23"/>
      <c r="BF464" s="5"/>
      <c r="BG464" s="5"/>
    </row>
    <row r="465" spans="17:59" ht="13.9" customHeight="1" x14ac:dyDescent="0.3">
      <c r="Q465" s="24"/>
      <c r="R465" s="244"/>
      <c r="S465" s="22"/>
      <c r="T465" s="234"/>
      <c r="U465" s="234"/>
      <c r="V465" s="234"/>
      <c r="W465" s="234"/>
      <c r="X465" s="234"/>
      <c r="Y465" s="234"/>
      <c r="Z465" s="234"/>
      <c r="AA465" s="234"/>
      <c r="AB465" s="234"/>
      <c r="AC465" s="234"/>
      <c r="AD465" s="234"/>
      <c r="AN465" s="23"/>
      <c r="AO465" s="23"/>
      <c r="BF465" s="5"/>
      <c r="BG465" s="5"/>
    </row>
    <row r="466" spans="17:59" ht="13.9" customHeight="1" x14ac:dyDescent="0.3">
      <c r="Q466" s="24"/>
      <c r="R466" s="244"/>
      <c r="S466" s="103" t="s">
        <v>654</v>
      </c>
      <c r="T466" s="234"/>
      <c r="U466" s="235">
        <f>SUMIFS($Y$403:$Y$405,$W$403:$W$405,S466)</f>
        <v>0</v>
      </c>
      <c r="V466" s="284" t="str">
        <f>IF(ISERROR(U466/$U$472),"--",U466/$U$472)</f>
        <v>--</v>
      </c>
      <c r="W466" s="234"/>
      <c r="X466" s="234"/>
      <c r="Y466" s="234"/>
      <c r="Z466" s="234"/>
      <c r="AA466" s="234"/>
      <c r="AB466" s="234"/>
      <c r="AC466" s="234"/>
      <c r="AD466" s="234"/>
      <c r="AN466" s="23"/>
      <c r="AO466" s="23"/>
      <c r="BF466" s="5"/>
      <c r="BG466" s="5"/>
    </row>
    <row r="467" spans="17:59" ht="13.9" customHeight="1" x14ac:dyDescent="0.3">
      <c r="Q467" s="24"/>
      <c r="R467" s="244"/>
      <c r="S467" s="103" t="s">
        <v>40</v>
      </c>
      <c r="T467" s="234"/>
      <c r="U467" s="235">
        <f t="shared" ref="U467:U471" si="1">SUMIFS($Y$402:$Y$438,$W$402:$W$438,S467)</f>
        <v>0</v>
      </c>
      <c r="V467" s="284" t="str">
        <f t="shared" ref="V467:V472" si="2">IF(ISERROR(U467/$U$472),"--",U467/$U$472)</f>
        <v>--</v>
      </c>
      <c r="W467" s="234"/>
      <c r="X467" s="234"/>
      <c r="Y467" s="234"/>
      <c r="Z467" s="234"/>
      <c r="AA467" s="234"/>
      <c r="AB467" s="234"/>
      <c r="AC467" s="234"/>
      <c r="AD467" s="234"/>
      <c r="AN467" s="23"/>
      <c r="AO467" s="23"/>
      <c r="BF467" s="5"/>
      <c r="BG467" s="5"/>
    </row>
    <row r="468" spans="17:59" ht="13.9" customHeight="1" x14ac:dyDescent="0.3">
      <c r="Q468" s="24"/>
      <c r="R468" s="244"/>
      <c r="S468" s="103" t="s">
        <v>655</v>
      </c>
      <c r="T468" s="234"/>
      <c r="U468" s="235">
        <f t="shared" si="1"/>
        <v>0</v>
      </c>
      <c r="V468" s="284" t="str">
        <f t="shared" si="2"/>
        <v>--</v>
      </c>
      <c r="W468" s="234"/>
      <c r="X468" s="234"/>
      <c r="Y468" s="234"/>
      <c r="Z468" s="234"/>
      <c r="AA468" s="234"/>
      <c r="AB468" s="234"/>
      <c r="AC468" s="234"/>
      <c r="AD468" s="234"/>
      <c r="AN468" s="23"/>
      <c r="AO468" s="23"/>
      <c r="BF468" s="5"/>
      <c r="BG468" s="5"/>
    </row>
    <row r="469" spans="17:59" ht="13.9" customHeight="1" x14ac:dyDescent="0.3">
      <c r="Q469" s="24"/>
      <c r="R469" s="244"/>
      <c r="S469" s="103" t="s">
        <v>656</v>
      </c>
      <c r="T469" s="234"/>
      <c r="U469" s="235">
        <f t="shared" si="1"/>
        <v>0</v>
      </c>
      <c r="V469" s="284" t="str">
        <f t="shared" si="2"/>
        <v>--</v>
      </c>
      <c r="W469" s="234"/>
      <c r="X469" s="234"/>
      <c r="Y469" s="234"/>
      <c r="Z469" s="234"/>
      <c r="AA469" s="234"/>
      <c r="AB469" s="234"/>
      <c r="AC469" s="234"/>
      <c r="AD469" s="234"/>
      <c r="AN469" s="23"/>
      <c r="AO469" s="23"/>
      <c r="BF469" s="5"/>
      <c r="BG469" s="5"/>
    </row>
    <row r="470" spans="17:59" ht="13.9" customHeight="1" x14ac:dyDescent="0.3">
      <c r="Q470" s="24"/>
      <c r="R470" s="244"/>
      <c r="S470" s="103" t="s">
        <v>657</v>
      </c>
      <c r="T470" s="234"/>
      <c r="U470" s="235">
        <f t="shared" si="1"/>
        <v>0</v>
      </c>
      <c r="V470" s="284" t="str">
        <f t="shared" si="2"/>
        <v>--</v>
      </c>
      <c r="W470" s="234"/>
      <c r="X470" s="234"/>
      <c r="Y470" s="234"/>
      <c r="Z470" s="234"/>
      <c r="AA470" s="234"/>
      <c r="AB470" s="234"/>
      <c r="AC470" s="234"/>
      <c r="AD470" s="234"/>
      <c r="AN470" s="23"/>
      <c r="AO470" s="23"/>
      <c r="BF470" s="5"/>
      <c r="BG470" s="5"/>
    </row>
    <row r="471" spans="17:59" ht="13.9" customHeight="1" x14ac:dyDescent="0.3">
      <c r="Q471" s="24"/>
      <c r="R471" s="244"/>
      <c r="S471" s="103" t="s">
        <v>663</v>
      </c>
      <c r="T471" s="234"/>
      <c r="U471" s="235">
        <f t="shared" si="1"/>
        <v>0</v>
      </c>
      <c r="V471" s="284" t="str">
        <f t="shared" si="2"/>
        <v>--</v>
      </c>
      <c r="W471" s="234"/>
      <c r="X471" s="234"/>
      <c r="Y471" s="234"/>
      <c r="Z471" s="234"/>
      <c r="AA471" s="234"/>
      <c r="AB471" s="234"/>
      <c r="AC471" s="234"/>
      <c r="AD471" s="234"/>
      <c r="AN471" s="23"/>
      <c r="AO471" s="23"/>
      <c r="BF471" s="5"/>
      <c r="BG471" s="5"/>
    </row>
    <row r="472" spans="17:59" ht="13.9" customHeight="1" x14ac:dyDescent="0.3">
      <c r="Q472" s="24"/>
      <c r="R472" s="244"/>
      <c r="S472" s="103" t="s">
        <v>667</v>
      </c>
      <c r="T472" s="234"/>
      <c r="U472" s="235">
        <f>SUM(U466:U471)</f>
        <v>0</v>
      </c>
      <c r="V472" s="284" t="str">
        <f t="shared" si="2"/>
        <v>--</v>
      </c>
      <c r="W472" s="234"/>
      <c r="X472" s="234"/>
      <c r="Y472" s="234"/>
      <c r="Z472" s="234"/>
      <c r="AA472" s="234"/>
      <c r="AB472" s="234"/>
      <c r="AC472" s="234"/>
      <c r="AD472" s="234"/>
      <c r="AN472" s="23"/>
      <c r="AO472" s="23"/>
      <c r="BF472" s="5"/>
      <c r="BG472" s="5"/>
    </row>
  </sheetData>
  <mergeCells count="1">
    <mergeCell ref="C13:D13"/>
  </mergeCells>
  <pageMargins left="0.70866141732283472" right="0.70866141732283472" top="0.74803149606299213" bottom="0.74803149606299213" header="0.31496062992125984" footer="0.31496062992125984"/>
  <pageSetup paperSize="9" scale="75" orientation="landscape" verticalDpi="0" r:id="rId1"/>
  <headerFooter>
    <oddHeader>&amp;L&amp;"-,Lihavoitu"&amp;12PIIP-laskentatyökalu&amp;RLuontaisen hajoamisen seuranta
Sivu &amp;P/&amp;N</oddHeader>
    <oddFooter>&amp;L&amp;G&amp;R&amp;G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 id="{6C41E1E0-D73E-4D1F-BE42-EC83B8B72211}">
            <xm:f>$C$54=Pudotusvalikot!$D$68</xm:f>
            <x14:dxf>
              <fill>
                <patternFill>
                  <bgColor theme="2" tint="0.59996337778862885"/>
                </patternFill>
              </fill>
            </x14:dxf>
          </x14:cfRule>
          <xm:sqref>L9</xm:sqref>
        </x14:conditionalFormatting>
        <x14:conditionalFormatting xmlns:xm="http://schemas.microsoft.com/office/excel/2006/main">
          <x14:cfRule type="expression" priority="3" id="{8D4CE1F8-3409-4FA4-A13F-0394392FF8D1}">
            <xm:f>$C$38=Pudotusvalikot!$D$68</xm:f>
            <x14:dxf>
              <fill>
                <patternFill>
                  <bgColor theme="2" tint="0.59996337778862885"/>
                </patternFill>
              </fill>
            </x14:dxf>
          </x14:cfRule>
          <xm:sqref>L11 L13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5080CCC-DB4D-449C-ADAE-0E11689A8EF5}">
          <x14:formula1>
            <xm:f>Pudotusvalikot!$J$3:$J$9</xm:f>
          </x14:formula1>
          <xm:sqref>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17</vt:i4>
      </vt:variant>
    </vt:vector>
  </HeadingPairs>
  <TitlesOfParts>
    <vt:vector size="30" baseType="lpstr">
      <vt:lpstr>Ohje ja esittely</vt:lpstr>
      <vt:lpstr>Kohdetiedot ja yhteenveto</vt:lpstr>
      <vt:lpstr>Massanvaihto ja aumakäsittelyt</vt:lpstr>
      <vt:lpstr>Eristäminen</vt:lpstr>
      <vt:lpstr>Injektoinnit</vt:lpstr>
      <vt:lpstr>Termiset menetelmät</vt:lpstr>
      <vt:lpstr>Huokosilmakäsittely</vt:lpstr>
      <vt:lpstr>Fytoremediaatio</vt:lpstr>
      <vt:lpstr>Luontaisen hajoamisen seuranta</vt:lpstr>
      <vt:lpstr>Materiaalit</vt:lpstr>
      <vt:lpstr>Kalusto</vt:lpstr>
      <vt:lpstr>Muut</vt:lpstr>
      <vt:lpstr>Pudotusvalikot</vt:lpstr>
      <vt:lpstr>Eristäminen!Tulostusalue</vt:lpstr>
      <vt:lpstr>Fytoremediaatio!Tulostusalue</vt:lpstr>
      <vt:lpstr>Huokosilmakäsittely!Tulostusalue</vt:lpstr>
      <vt:lpstr>Injektoinnit!Tulostusalue</vt:lpstr>
      <vt:lpstr>Kalusto!Tulostusalue</vt:lpstr>
      <vt:lpstr>'Kohdetiedot ja yhteenveto'!Tulostusalue</vt:lpstr>
      <vt:lpstr>'Luontaisen hajoamisen seuranta'!Tulostusalue</vt:lpstr>
      <vt:lpstr>'Massanvaihto ja aumakäsittelyt'!Tulostusalue</vt:lpstr>
      <vt:lpstr>Materiaalit!Tulostusalue</vt:lpstr>
      <vt:lpstr>Pudotusvalikot!Tulostusalue</vt:lpstr>
      <vt:lpstr>'Termiset menetelmät'!Tulostusalue</vt:lpstr>
      <vt:lpstr>Eristäminen!Tulostusotsikot</vt:lpstr>
      <vt:lpstr>Fytoremediaatio!Tulostusotsikot</vt:lpstr>
      <vt:lpstr>Huokosilmakäsittely!Tulostusotsikot</vt:lpstr>
      <vt:lpstr>'Luontaisen hajoamisen seuranta'!Tulostusotsikot</vt:lpstr>
      <vt:lpstr>'Massanvaihto ja aumakäsittelyt'!Tulostusotsikot</vt:lpstr>
      <vt:lpstr>'Termiset menetelmät'!Tulostusotsikot</vt:lpstr>
    </vt:vector>
  </TitlesOfParts>
  <Company>KL FCG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Pöyry, Emilia</dc:creator>
  <cp:lastModifiedBy>Metsähalme Freija (ELY)</cp:lastModifiedBy>
  <dcterms:created xsi:type="dcterms:W3CDTF">2023-06-12T08:45:58Z</dcterms:created>
  <dcterms:modified xsi:type="dcterms:W3CDTF">2024-03-19T06:51:51Z</dcterms:modified>
</cp:coreProperties>
</file>